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drawings/drawing16.xml" ContentType="application/vnd.openxmlformats-officedocument.drawing+xml"/>
  <Override PartName="/xl/charts/chart20.xml" ContentType="application/vnd.openxmlformats-officedocument.drawingml.chart+xml"/>
  <Override PartName="/xl/drawings/drawing17.xml" ContentType="application/vnd.openxmlformats-officedocument.drawing+xml"/>
  <Override PartName="/xl/charts/chart21.xml" ContentType="application/vnd.openxmlformats-officedocument.drawingml.chart+xml"/>
  <Override PartName="/xl/drawings/drawing18.xml" ContentType="application/vnd.openxmlformats-officedocument.drawing+xml"/>
  <Override PartName="/xl/charts/chart22.xml" ContentType="application/vnd.openxmlformats-officedocument.drawingml.chart+xml"/>
  <Override PartName="/xl/drawings/drawing19.xml" ContentType="application/vnd.openxmlformats-officedocument.drawing+xml"/>
  <Override PartName="/xl/charts/chart23.xml" ContentType="application/vnd.openxmlformats-officedocument.drawingml.chart+xml"/>
  <Override PartName="/xl/drawings/drawing20.xml" ContentType="application/vnd.openxmlformats-officedocument.drawing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495" windowWidth="19155" windowHeight="11430" tabRatio="816" firstSheet="2" activeTab="2"/>
  </bookViews>
  <sheets>
    <sheet name="Прил№3 июль" sheetId="42" state="hidden" r:id="rId1"/>
    <sheet name="По месяцам2016" sheetId="64" state="hidden" r:id="rId2"/>
    <sheet name="Приложение №1" sheetId="86" r:id="rId3"/>
    <sheet name="Приложение № 2" sheetId="101" r:id="rId4"/>
    <sheet name="Приложение № 3" sheetId="99" r:id="rId5"/>
    <sheet name="Приложение № 4" sheetId="100" r:id="rId6"/>
    <sheet name="Приложение №3" sheetId="53" state="hidden" r:id="rId7"/>
    <sheet name="Прил№4июнь" sheetId="46" state="hidden" r:id="rId8"/>
    <sheet name="Прил№4июль" sheetId="51" state="hidden" r:id="rId9"/>
    <sheet name="Приложение №4" sheetId="54" state="hidden" r:id="rId10"/>
    <sheet name="4мес.2015" sheetId="43" state="hidden" r:id="rId11"/>
    <sheet name="Приложение №5" sheetId="87" state="hidden" r:id="rId12"/>
    <sheet name="Приложение №6" sheetId="88" state="hidden" r:id="rId13"/>
    <sheet name="Приложение № 7" sheetId="89" state="hidden" r:id="rId14"/>
    <sheet name="Лист1" sheetId="90" state="hidden" r:id="rId15"/>
    <sheet name="Лист3" sheetId="91" state="hidden" r:id="rId16"/>
    <sheet name="Лист4" sheetId="92" state="hidden" r:id="rId17"/>
    <sheet name="Лист5" sheetId="93" state="hidden" r:id="rId18"/>
    <sheet name="5.1" sheetId="94" state="hidden" r:id="rId19"/>
    <sheet name="Лист6" sheetId="95" state="hidden" r:id="rId20"/>
    <sheet name="6.1" sheetId="96" state="hidden" r:id="rId21"/>
    <sheet name="7" sheetId="97" state="hidden" r:id="rId22"/>
    <sheet name="7.1" sheetId="98" state="hidden" r:id="rId23"/>
  </sheets>
  <externalReferences>
    <externalReference r:id="rId24"/>
  </externalReferences>
  <definedNames>
    <definedName name="anscount" hidden="1">1</definedName>
    <definedName name="DaNet">[1]TEHSHEET!$G$2:$G$3</definedName>
    <definedName name="MONTH">[1]TEHSHEET!$E$2:$E$14</definedName>
    <definedName name="MR_LIST">[1]REESTR_MO!$D$2:$D$14</definedName>
    <definedName name="org">[1]Титульный!$G$16</definedName>
    <definedName name="P19_T1_Protect" localSheetId="3" hidden="1">P5_T1_Protect,P6_T1_Protect,P7_T1_Protect,P8_T1_Protect,P9_T1_Protect,P10_T1_Protect,P11_T1_Protect,P12_T1_Protect,P13_T1_Protect,P14_T1_Protect</definedName>
    <definedName name="P19_T1_Protect" localSheetId="4" hidden="1">P5_T1_Protect,P6_T1_Protect,P7_T1_Protect,P8_T1_Protect,P9_T1_Protect,P10_T1_Protect,P11_T1_Protect,P12_T1_Protect,P13_T1_Protect,P14_T1_Protect</definedName>
    <definedName name="P19_T1_Protect" localSheetId="5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ROT_22" localSheetId="3">P3_PROT_22,P4_PROT_22,P5_PROT_22</definedName>
    <definedName name="PROT_22" localSheetId="4">P3_PROT_22,P4_PROT_22,P5_PROT_22</definedName>
    <definedName name="PROT_22" localSheetId="5">P3_PROT_22,P4_PROT_22,P5_PROT_22</definedName>
    <definedName name="PROT_22">P3_PROT_22,P4_PROT_22,P5_PROT_22</definedName>
    <definedName name="SAPBEXrevision" hidden="1">1</definedName>
    <definedName name="SAPBEXsysID" hidden="1">"BW2"</definedName>
    <definedName name="SAPBEXwbID" hidden="1">"479GSPMTNK9HM4ZSIVE5K2SH6"</definedName>
    <definedName name="SCOPE_16_PRT" localSheetId="3">P1_SCOPE_16_PRT,P2_SCOPE_16_PRT</definedName>
    <definedName name="SCOPE_16_PRT" localSheetId="4">P1_SCOPE_16_PRT,P2_SCOPE_16_PRT</definedName>
    <definedName name="SCOPE_16_PRT" localSheetId="5">P1_SCOPE_16_PRT,P2_SCOPE_16_PRT</definedName>
    <definedName name="SCOPE_16_PRT">P1_SCOPE_16_PRT,P2_SCOPE_16_PRT</definedName>
    <definedName name="Scope_17_PRT" localSheetId="3">P1_SCOPE_16_PRT,P2_SCOPE_16_PRT</definedName>
    <definedName name="Scope_17_PRT" localSheetId="4">P1_SCOPE_16_PRT,P2_SCOPE_16_PRT</definedName>
    <definedName name="Scope_17_PRT" localSheetId="5">P1_SCOPE_16_PRT,P2_SCOPE_16_PRT</definedName>
    <definedName name="Scope_17_PRT">P1_SCOPE_16_PRT,P2_SCOPE_16_PRT</definedName>
    <definedName name="SCOPE_PER_PRT" localSheetId="3">P5_SCOPE_PER_PRT,P6_SCOPE_PER_PRT,P7_SCOPE_PER_PRT,P8_SCOPE_PER_PRT</definedName>
    <definedName name="SCOPE_PER_PRT" localSheetId="4">P5_SCOPE_PER_PRT,P6_SCOPE_PER_PRT,P7_SCOPE_PER_PRT,P8_SCOPE_PER_PRT</definedName>
    <definedName name="SCOPE_PER_PRT" localSheetId="5">P5_SCOPE_PER_PRT,P6_SCOPE_PER_PRT,P7_SCOPE_PER_PRT,P8_SCOPE_PER_PRT</definedName>
    <definedName name="SCOPE_PER_PRT">P5_SCOPE_PER_PRT,P6_SCOPE_PER_PRT,P7_SCOPE_PER_PRT,P8_SCOPE_PER_PRT</definedName>
    <definedName name="SCOPE_SV_PRT" localSheetId="3">P1_SCOPE_SV_PRT,P2_SCOPE_SV_PRT,P3_SCOPE_SV_PRT</definedName>
    <definedName name="SCOPE_SV_PRT" localSheetId="4">P1_SCOPE_SV_PRT,P2_SCOPE_SV_PRT,P3_SCOPE_SV_PRT</definedName>
    <definedName name="SCOPE_SV_PRT" localSheetId="5">P1_SCOPE_SV_PRT,P2_SCOPE_SV_PRT,P3_SCOPE_SV_PRT</definedName>
    <definedName name="SCOPE_SV_PRT">P1_SCOPE_SV_PRT,P2_SCOPE_SV_PRT,P3_SCOPE_SV_PRT</definedName>
    <definedName name="Sposob_Priobr_Range">[1]TEHSHEET!$H$2:$H$4</definedName>
    <definedName name="T2.1_Protect" localSheetId="3">P4_T2.1_Protect,P5_T2.1_Protect,P6_T2.1_Protect,P7_T2.1_Protect</definedName>
    <definedName name="T2.1_Protect" localSheetId="4">P4_T2.1_Protect,P5_T2.1_Protect,P6_T2.1_Protect,P7_T2.1_Protect</definedName>
    <definedName name="T2.1_Protect" localSheetId="5">P4_T2.1_Protect,P5_T2.1_Protect,P6_T2.1_Protect,P7_T2.1_Protect</definedName>
    <definedName name="T2.1_Protect">P4_T2.1_Protect,P5_T2.1_Protect,P6_T2.1_Protect,P7_T2.1_Protect</definedName>
    <definedName name="T2_1_Protect" localSheetId="3">P4_T2_1_Protect,P5_T2_1_Protect,P6_T2_1_Protect,P7_T2_1_Protect</definedName>
    <definedName name="T2_1_Protect" localSheetId="4">P4_T2_1_Protect,P5_T2_1_Protect,P6_T2_1_Protect,P7_T2_1_Protect</definedName>
    <definedName name="T2_1_Protect" localSheetId="5">P4_T2_1_Protect,P5_T2_1_Protect,P6_T2_1_Protect,P7_T2_1_Protect</definedName>
    <definedName name="T2_1_Protect">P4_T2_1_Protect,P5_T2_1_Protect,P6_T2_1_Protect,P7_T2_1_Protect</definedName>
    <definedName name="T2_2_Protect" localSheetId="3">P4_T2_2_Protect,P5_T2_2_Protect,P6_T2_2_Protect,P7_T2_2_Protect</definedName>
    <definedName name="T2_2_Protect" localSheetId="4">P4_T2_2_Protect,P5_T2_2_Protect,P6_T2_2_Protect,P7_T2_2_Protect</definedName>
    <definedName name="T2_2_Protect" localSheetId="5">P4_T2_2_Protect,P5_T2_2_Protect,P6_T2_2_Protect,P7_T2_2_Protect</definedName>
    <definedName name="T2_2_Protect">P4_T2_2_Protect,P5_T2_2_Protect,P6_T2_2_Protect,P7_T2_2_Protect</definedName>
    <definedName name="T2_DiapProt" localSheetId="3">P1_T2_DiapProt,P2_T2_DiapProt</definedName>
    <definedName name="T2_DiapProt" localSheetId="4">P1_T2_DiapProt,P2_T2_DiapProt</definedName>
    <definedName name="T2_DiapProt" localSheetId="5">P1_T2_DiapProt,P2_T2_DiapProt</definedName>
    <definedName name="T2_DiapProt">P1_T2_DiapProt,P2_T2_DiapProt</definedName>
    <definedName name="T2_Protect" localSheetId="3">P4_T2_Protect,P5_T2_Protect,P6_T2_Protect</definedName>
    <definedName name="T2_Protect" localSheetId="4">P4_T2_Protect,P5_T2_Protect,P6_T2_Protect</definedName>
    <definedName name="T2_Protect" localSheetId="5">P4_T2_Protect,P5_T2_Protect,P6_T2_Protect</definedName>
    <definedName name="T2_Protect">P4_T2_Protect,P5_T2_Protect,P6_T2_Protect</definedName>
    <definedName name="T6_Protect" localSheetId="3">P1_T6_Protect,P2_T6_Protect</definedName>
    <definedName name="T6_Protect" localSheetId="4">P1_T6_Protect,P2_T6_Protect</definedName>
    <definedName name="T6_Protect" localSheetId="5">P1_T6_Protect,P2_T6_Protect</definedName>
    <definedName name="T6_Protect">P1_T6_Protect,P2_T6_Protect</definedName>
    <definedName name="version">[1]Инструкция!$B$3</definedName>
    <definedName name="YEAR">[1]TEHSHEET!$F$2:$F$5</definedName>
    <definedName name="грф" localSheetId="3">P1_SCOPE_16_PRT,P2_SCOPE_16_PRT</definedName>
    <definedName name="грф" localSheetId="4">P1_SCOPE_16_PRT,P2_SCOPE_16_PRT</definedName>
    <definedName name="грф" localSheetId="5">P1_SCOPE_16_PRT,P2_SCOPE_16_PRT</definedName>
    <definedName name="грф">P1_SCOPE_16_PRT,P2_SCOPE_16_PRT</definedName>
    <definedName name="_xlnm.Print_Area" localSheetId="1">'По месяцам2016'!$B$1:$CH$14</definedName>
    <definedName name="_xlnm.Print_Area" localSheetId="0">'Прил№3 июль'!$A$1:$I$9</definedName>
    <definedName name="_xlnm.Print_Area" localSheetId="7">Прил№4июнь!$A$1:$G$11</definedName>
    <definedName name="_xlnm.Print_Area" localSheetId="3">'Приложение № 2'!$G$1:$P$39</definedName>
    <definedName name="_xlnm.Print_Area" localSheetId="4">'Приложение № 3'!$A$15:$L$44</definedName>
    <definedName name="_xlnm.Print_Area" localSheetId="5">'Приложение № 4'!$A$15:$H$50</definedName>
    <definedName name="_xlnm.Print_Area" localSheetId="2">'Приложение №1'!$B$1:$CX$22</definedName>
    <definedName name="_xlnm.Print_Area" localSheetId="6">'Приложение №3'!$A$15:$O$44</definedName>
    <definedName name="_xlnm.Print_Area" localSheetId="9">'Приложение №4'!$A$15:$N$50</definedName>
    <definedName name="_xlnm.Print_Area" localSheetId="11">'Приложение №5'!$G$1:$P$39</definedName>
    <definedName name="пвпрар" localSheetId="3">P1_T6_Protect,P2_T6_Protect</definedName>
    <definedName name="пвпрар" localSheetId="4">P1_T6_Protect,P2_T6_Protect</definedName>
    <definedName name="пвпрар" localSheetId="5">P1_T6_Protect,P2_T6_Protect</definedName>
    <definedName name="пвпрар">P1_T6_Protect,P2_T6_Protect</definedName>
  </definedNames>
  <calcPr calcId="152511"/>
</workbook>
</file>

<file path=xl/calcChain.xml><?xml version="1.0" encoding="utf-8"?>
<calcChain xmlns="http://schemas.openxmlformats.org/spreadsheetml/2006/main">
  <c r="CT18" i="86" l="1"/>
  <c r="Z30" i="86"/>
  <c r="Y30" i="86"/>
  <c r="J10" i="100" l="1"/>
  <c r="K8" i="99"/>
  <c r="BK11" i="86"/>
  <c r="BK10" i="86" s="1"/>
  <c r="CF11" i="86"/>
  <c r="CE11" i="86"/>
  <c r="CE7" i="86"/>
  <c r="CG16" i="86"/>
  <c r="CH16" i="86" s="1"/>
  <c r="CA11" i="86"/>
  <c r="BZ11" i="86"/>
  <c r="BZ6" i="86"/>
  <c r="BZ7" i="86"/>
  <c r="CA6" i="86"/>
  <c r="CA7" i="86" s="1"/>
  <c r="BV11" i="86"/>
  <c r="BU11" i="86"/>
  <c r="BV6" i="86" l="1"/>
  <c r="BV7" i="86" s="1"/>
  <c r="BU6" i="86"/>
  <c r="BU7" i="86" s="1"/>
  <c r="BL11" i="86" l="1"/>
  <c r="BM9" i="86"/>
  <c r="BM8" i="86"/>
  <c r="BL6" i="86"/>
  <c r="BL7" i="86" s="1"/>
  <c r="BK6" i="86"/>
  <c r="BK7" i="86" s="1"/>
  <c r="BG11" i="86" l="1"/>
  <c r="BF11" i="86"/>
  <c r="BF10" i="86" s="1"/>
  <c r="BG6" i="86"/>
  <c r="BG7" i="86" s="1"/>
  <c r="BF6" i="86"/>
  <c r="BF7" i="86" s="1"/>
  <c r="BB11" i="86" l="1"/>
  <c r="BB10" i="86" s="1"/>
  <c r="BA11" i="86"/>
  <c r="BA10" i="86" s="1"/>
  <c r="BB6" i="86"/>
  <c r="BB7" i="86" s="1"/>
  <c r="BA6" i="86"/>
  <c r="BA7" i="86" s="1"/>
  <c r="F10" i="99" l="1"/>
  <c r="AM10" i="86" l="1"/>
  <c r="AQ16" i="86" s="1"/>
  <c r="AH10" i="86"/>
  <c r="AL16" i="86" s="1"/>
  <c r="AC10" i="86"/>
  <c r="AG16" i="86" s="1"/>
  <c r="T10" i="86"/>
  <c r="X16" i="86" s="1"/>
  <c r="O10" i="86"/>
  <c r="J10" i="86"/>
  <c r="N16" i="86" l="1"/>
  <c r="N15" i="86"/>
  <c r="S15" i="86"/>
  <c r="S16" i="86"/>
  <c r="Y10" i="86"/>
  <c r="AO16" i="86"/>
  <c r="AN6" i="86"/>
  <c r="AN7" i="86" s="1"/>
  <c r="AM6" i="86"/>
  <c r="AM7" i="86" s="1"/>
  <c r="AJ16" i="86" l="1"/>
  <c r="AI7" i="86"/>
  <c r="AI6" i="86"/>
  <c r="AH6" i="86"/>
  <c r="AH7" i="86" s="1"/>
  <c r="AE16" i="86"/>
  <c r="AS16" i="86"/>
  <c r="AR16" i="86"/>
  <c r="AD6" i="86"/>
  <c r="AD7" i="86" s="1"/>
  <c r="AC6" i="86"/>
  <c r="AC7" i="86" s="1"/>
  <c r="AW16" i="86" l="1"/>
  <c r="AK16" i="86"/>
  <c r="AP16" i="86"/>
  <c r="AT16" i="86"/>
  <c r="V16" i="86"/>
  <c r="U6" i="86"/>
  <c r="U7" i="86" s="1"/>
  <c r="T6" i="86"/>
  <c r="T7" i="86" s="1"/>
  <c r="Q16" i="86"/>
  <c r="Q12" i="86"/>
  <c r="P6" i="86"/>
  <c r="P7" i="86" s="1"/>
  <c r="O6" i="86"/>
  <c r="O7" i="86" s="1"/>
  <c r="L16" i="86"/>
  <c r="Z16" i="86"/>
  <c r="Y16" i="86"/>
  <c r="AB16" i="86" s="1"/>
  <c r="R16" i="86" l="1"/>
  <c r="W16" i="86"/>
  <c r="AV16" i="86"/>
  <c r="AA16" i="86"/>
  <c r="AF16" i="86" s="1"/>
  <c r="K6" i="86"/>
  <c r="K7" i="86" s="1"/>
  <c r="J6" i="86"/>
  <c r="J7" i="86" s="1"/>
  <c r="AX16" i="86" l="1"/>
  <c r="BA5" i="86"/>
  <c r="K10" i="100" l="1"/>
  <c r="L10" i="100"/>
  <c r="M10" i="100"/>
  <c r="K10" i="99"/>
  <c r="L10" i="99"/>
  <c r="M10" i="99"/>
  <c r="CB16" i="86"/>
  <c r="CK16" i="86"/>
  <c r="BW16" i="86"/>
  <c r="CJ16" i="86"/>
  <c r="BP6" i="86"/>
  <c r="CC16" i="86" l="1"/>
  <c r="CL16" i="86"/>
  <c r="I10" i="100"/>
  <c r="H10" i="100"/>
  <c r="J10" i="99"/>
  <c r="I10" i="99"/>
  <c r="H10" i="99"/>
  <c r="BP15" i="86"/>
  <c r="BO16" i="86"/>
  <c r="BC16" i="86"/>
  <c r="BD16" i="86" s="1"/>
  <c r="BQ16" i="86"/>
  <c r="BP16" i="86"/>
  <c r="BL10" i="86"/>
  <c r="BG10" i="86"/>
  <c r="BM16" i="86"/>
  <c r="BX16" i="86" s="1"/>
  <c r="BH16" i="86"/>
  <c r="BJ16" i="86"/>
  <c r="BH15" i="86"/>
  <c r="BE16" i="86"/>
  <c r="BC15" i="86"/>
  <c r="BC14" i="86"/>
  <c r="Q13" i="86"/>
  <c r="CP16" i="86" l="1"/>
  <c r="CU16" i="86"/>
  <c r="BR16" i="86"/>
  <c r="CT16" i="86"/>
  <c r="CV16" i="86" s="1"/>
  <c r="BI16" i="86"/>
  <c r="BN16" i="86"/>
  <c r="CO16" i="86"/>
  <c r="CQ16" i="86" s="1"/>
  <c r="BC10" i="86"/>
  <c r="F10" i="100"/>
  <c r="E10" i="100"/>
  <c r="D10" i="100"/>
  <c r="C10" i="100"/>
  <c r="G10" i="100"/>
  <c r="B10" i="100" l="1"/>
  <c r="C10" i="99"/>
  <c r="D10" i="99"/>
  <c r="E10" i="99"/>
  <c r="G10" i="99"/>
  <c r="AI10" i="86" l="1"/>
  <c r="AR10" i="86" l="1"/>
  <c r="AU16" i="86" s="1"/>
  <c r="Q8" i="86" l="1"/>
  <c r="AR8" i="86" l="1"/>
  <c r="AS8" i="86"/>
  <c r="AR9" i="86"/>
  <c r="AS9" i="86"/>
  <c r="AR11" i="86"/>
  <c r="AS11" i="86"/>
  <c r="AR12" i="86"/>
  <c r="AS12" i="86"/>
  <c r="AR13" i="86"/>
  <c r="AS13" i="86"/>
  <c r="AR14" i="86"/>
  <c r="AS14" i="86"/>
  <c r="AR15" i="86"/>
  <c r="AS15" i="86"/>
  <c r="AS7" i="86"/>
  <c r="AR6" i="86"/>
  <c r="U10" i="86"/>
  <c r="Q11" i="86"/>
  <c r="Q9" i="86"/>
  <c r="P10" i="86"/>
  <c r="Q6" i="86"/>
  <c r="G15" i="86"/>
  <c r="H15" i="86" s="1"/>
  <c r="G14" i="86"/>
  <c r="H14" i="86" s="1"/>
  <c r="G13" i="86"/>
  <c r="H13" i="86" s="1"/>
  <c r="G12" i="86"/>
  <c r="H12" i="86" s="1"/>
  <c r="G11" i="86"/>
  <c r="H11" i="86" s="1"/>
  <c r="F10" i="86"/>
  <c r="E10" i="86"/>
  <c r="I15" i="86" s="1"/>
  <c r="G9" i="86"/>
  <c r="H9" i="86" s="1"/>
  <c r="G8" i="86"/>
  <c r="H8" i="86" s="1"/>
  <c r="F6" i="86"/>
  <c r="F7" i="86" s="1"/>
  <c r="F5" i="86" s="1"/>
  <c r="F17" i="86" s="1"/>
  <c r="E6" i="86"/>
  <c r="E7" i="86" s="1"/>
  <c r="AS6" i="86" l="1"/>
  <c r="AR7" i="86"/>
  <c r="G7" i="86"/>
  <c r="H7" i="86" s="1"/>
  <c r="G6" i="86"/>
  <c r="H6" i="86" s="1"/>
  <c r="G10" i="86"/>
  <c r="H10" i="86" s="1"/>
  <c r="I12" i="86"/>
  <c r="I14" i="86"/>
  <c r="E5" i="86"/>
  <c r="I11" i="86"/>
  <c r="I13" i="86"/>
  <c r="I17" i="86" l="1"/>
  <c r="E17" i="86"/>
  <c r="G5" i="86"/>
  <c r="H5" i="86" s="1"/>
  <c r="I9" i="86" l="1"/>
  <c r="I8" i="86"/>
  <c r="I7" i="86"/>
  <c r="G17" i="86"/>
  <c r="H17" i="86" s="1"/>
  <c r="I6" i="86"/>
  <c r="I10" i="86"/>
  <c r="I5" i="86"/>
  <c r="Q10" i="86" l="1"/>
  <c r="J5" i="86" l="1"/>
  <c r="CG8" i="86"/>
  <c r="CG9" i="86"/>
  <c r="CG11" i="86"/>
  <c r="CG12" i="86"/>
  <c r="CG13" i="86"/>
  <c r="CG14" i="86"/>
  <c r="CG15" i="86"/>
  <c r="CF10" i="86" l="1"/>
  <c r="CF5" i="86"/>
  <c r="CG6" i="86"/>
  <c r="CK12" i="86"/>
  <c r="CK13" i="86"/>
  <c r="CK14" i="86"/>
  <c r="CK15" i="86"/>
  <c r="CK11" i="86"/>
  <c r="CJ12" i="86"/>
  <c r="CJ13" i="86"/>
  <c r="CJ14" i="86"/>
  <c r="CJ15" i="86"/>
  <c r="CJ11" i="86"/>
  <c r="CK8" i="86"/>
  <c r="CK9" i="86"/>
  <c r="CJ9" i="86"/>
  <c r="CJ8" i="86"/>
  <c r="CE10" i="86"/>
  <c r="CB8" i="86"/>
  <c r="CB9" i="86"/>
  <c r="CB11" i="86"/>
  <c r="CB12" i="86"/>
  <c r="CB13" i="86"/>
  <c r="CB14" i="86"/>
  <c r="CB15" i="86"/>
  <c r="CA10" i="86"/>
  <c r="BZ10" i="86"/>
  <c r="BW8" i="86"/>
  <c r="BW9" i="86"/>
  <c r="BW11" i="86"/>
  <c r="BW12" i="86"/>
  <c r="BW13" i="86"/>
  <c r="BW14" i="86"/>
  <c r="BW15" i="86"/>
  <c r="BV10" i="86"/>
  <c r="BU10" i="86"/>
  <c r="BQ12" i="86"/>
  <c r="BQ13" i="86"/>
  <c r="BQ14" i="86"/>
  <c r="BQ15" i="86"/>
  <c r="BQ11" i="86"/>
  <c r="BQ8" i="86"/>
  <c r="BQ9" i="86"/>
  <c r="CP9" i="86" s="1"/>
  <c r="BP12" i="86"/>
  <c r="BP13" i="86"/>
  <c r="BP14" i="86"/>
  <c r="BP11" i="86"/>
  <c r="BP8" i="86"/>
  <c r="BP9" i="86"/>
  <c r="BO15" i="86"/>
  <c r="BM11" i="86"/>
  <c r="BM12" i="86"/>
  <c r="BM13" i="86"/>
  <c r="BM14" i="86"/>
  <c r="BM15" i="86"/>
  <c r="BH8" i="86"/>
  <c r="BH9" i="86"/>
  <c r="BH11" i="86"/>
  <c r="BH12" i="86"/>
  <c r="BH13" i="86"/>
  <c r="BH14" i="86"/>
  <c r="BJ14" i="86"/>
  <c r="BE14" i="86"/>
  <c r="BC8" i="86"/>
  <c r="BC9" i="86"/>
  <c r="BC11" i="86"/>
  <c r="BC12" i="86"/>
  <c r="BC13" i="86"/>
  <c r="CD15" i="86" l="1"/>
  <c r="CD16" i="86"/>
  <c r="BY15" i="86"/>
  <c r="BY16" i="86"/>
  <c r="CI15" i="86"/>
  <c r="CI16" i="86"/>
  <c r="CP13" i="86"/>
  <c r="CO8" i="86"/>
  <c r="CP15" i="86"/>
  <c r="CO12" i="86"/>
  <c r="CO14" i="86"/>
  <c r="CL14" i="86"/>
  <c r="CL11" i="86"/>
  <c r="BQ10" i="86"/>
  <c r="CO11" i="86"/>
  <c r="BP10" i="86"/>
  <c r="BT16" i="86" s="1"/>
  <c r="AQ11" i="86"/>
  <c r="CO9" i="86"/>
  <c r="CP8" i="86"/>
  <c r="CO15" i="86"/>
  <c r="CP14" i="86"/>
  <c r="CQ14" i="86" s="1"/>
  <c r="CP12" i="86"/>
  <c r="CL15" i="86"/>
  <c r="CL13" i="86"/>
  <c r="CL9" i="86"/>
  <c r="CQ12" i="86"/>
  <c r="BR13" i="86"/>
  <c r="CO13" i="86"/>
  <c r="CP11" i="86"/>
  <c r="CQ9" i="86"/>
  <c r="CK6" i="86"/>
  <c r="CJ7" i="86"/>
  <c r="BU5" i="86"/>
  <c r="BR15" i="86"/>
  <c r="BR9" i="86"/>
  <c r="BR14" i="86"/>
  <c r="BR12" i="86"/>
  <c r="CB7" i="86"/>
  <c r="CG10" i="86"/>
  <c r="CK10" i="86"/>
  <c r="CL8" i="86"/>
  <c r="CL12" i="86"/>
  <c r="CJ10" i="86"/>
  <c r="CN15" i="86" s="1"/>
  <c r="CJ6" i="86"/>
  <c r="CE5" i="86"/>
  <c r="CC14" i="86"/>
  <c r="CC12" i="86"/>
  <c r="CC9" i="86"/>
  <c r="CF17" i="86"/>
  <c r="CF18" i="86" s="1"/>
  <c r="CI12" i="86"/>
  <c r="CI14" i="86"/>
  <c r="BI14" i="86"/>
  <c r="BI12" i="86"/>
  <c r="BI9" i="86"/>
  <c r="BR8" i="86"/>
  <c r="BZ5" i="86"/>
  <c r="BZ17" i="86" s="1"/>
  <c r="BZ18" i="86" s="1"/>
  <c r="CA5" i="86"/>
  <c r="CA17" i="86" s="1"/>
  <c r="CA18" i="86" s="1"/>
  <c r="CC15" i="86"/>
  <c r="CC13" i="86"/>
  <c r="CC11" i="86"/>
  <c r="CC8" i="86"/>
  <c r="CB6" i="86"/>
  <c r="CI11" i="86"/>
  <c r="CI13" i="86"/>
  <c r="CB10" i="86"/>
  <c r="CD12" i="86"/>
  <c r="CD14" i="86"/>
  <c r="CD11" i="86"/>
  <c r="CD13" i="86"/>
  <c r="AQ12" i="86"/>
  <c r="BB5" i="86"/>
  <c r="BB17" i="86" s="1"/>
  <c r="BB18" i="86" s="1"/>
  <c r="BQ6" i="86"/>
  <c r="BH6" i="86"/>
  <c r="BH7" i="86"/>
  <c r="BG5" i="86"/>
  <c r="BG17" i="86" s="1"/>
  <c r="BG18" i="86" s="1"/>
  <c r="BC6" i="86"/>
  <c r="BC7" i="86"/>
  <c r="BI13" i="86"/>
  <c r="AM5" i="86"/>
  <c r="BN14" i="86"/>
  <c r="BN12" i="86"/>
  <c r="BN9" i="86"/>
  <c r="AT9" i="86"/>
  <c r="BR11" i="86"/>
  <c r="BX14" i="86"/>
  <c r="BX12" i="86"/>
  <c r="BX9" i="86"/>
  <c r="BI15" i="86"/>
  <c r="BI11" i="86"/>
  <c r="BI8" i="86"/>
  <c r="BN15" i="86"/>
  <c r="BN13" i="86"/>
  <c r="BN11" i="86"/>
  <c r="BN8" i="86"/>
  <c r="BQ7" i="86"/>
  <c r="BX15" i="86"/>
  <c r="BX13" i="86"/>
  <c r="BX11" i="86"/>
  <c r="BX8" i="86"/>
  <c r="BY12" i="86"/>
  <c r="BY14" i="86"/>
  <c r="BW10" i="86"/>
  <c r="BY11" i="86"/>
  <c r="BY13" i="86"/>
  <c r="BU17" i="86"/>
  <c r="BW6" i="86"/>
  <c r="BO12" i="86"/>
  <c r="BM10" i="86"/>
  <c r="BO14" i="86"/>
  <c r="BO11" i="86"/>
  <c r="BO13" i="86"/>
  <c r="BK5" i="86"/>
  <c r="BM6" i="86"/>
  <c r="BJ13" i="86"/>
  <c r="BH10" i="86"/>
  <c r="BJ11" i="86"/>
  <c r="BJ15" i="86"/>
  <c r="BJ12" i="86"/>
  <c r="BE11" i="86"/>
  <c r="BE13" i="86"/>
  <c r="BE15" i="86"/>
  <c r="BE12" i="86"/>
  <c r="BA17" i="86"/>
  <c r="B15" i="88"/>
  <c r="B14" i="88"/>
  <c r="B13" i="88"/>
  <c r="B12" i="88"/>
  <c r="B11" i="88"/>
  <c r="H5" i="54"/>
  <c r="BE5" i="86" l="1"/>
  <c r="BA18" i="86"/>
  <c r="BY6" i="86"/>
  <c r="BU18" i="86"/>
  <c r="CQ15" i="86"/>
  <c r="CQ8" i="86"/>
  <c r="BT13" i="86"/>
  <c r="BT15" i="86"/>
  <c r="CD10" i="86"/>
  <c r="CD8" i="86"/>
  <c r="CQ11" i="86"/>
  <c r="CO6" i="86"/>
  <c r="CL6" i="86"/>
  <c r="CG5" i="86"/>
  <c r="CN13" i="86"/>
  <c r="CP6" i="86"/>
  <c r="CP10" i="86"/>
  <c r="CJ5" i="86"/>
  <c r="CJ17" i="86" s="1"/>
  <c r="CJ18" i="86" s="1"/>
  <c r="BT12" i="86"/>
  <c r="BT11" i="86"/>
  <c r="BR10" i="86"/>
  <c r="CO10" i="86"/>
  <c r="CQ13" i="86"/>
  <c r="CG7" i="86"/>
  <c r="CC6" i="86"/>
  <c r="BV5" i="86"/>
  <c r="CK7" i="86"/>
  <c r="CP7" i="86" s="1"/>
  <c r="BW7" i="86"/>
  <c r="CB5" i="86"/>
  <c r="CC7" i="86"/>
  <c r="CL7" i="86"/>
  <c r="CL10" i="86"/>
  <c r="CI17" i="86"/>
  <c r="CN11" i="86"/>
  <c r="CN12" i="86"/>
  <c r="CN14" i="86"/>
  <c r="CE17" i="86"/>
  <c r="BM7" i="86"/>
  <c r="BN7" i="86" s="1"/>
  <c r="BT14" i="86"/>
  <c r="BI6" i="86"/>
  <c r="CD7" i="86"/>
  <c r="CC10" i="86"/>
  <c r="CB17" i="86"/>
  <c r="CD17" i="86"/>
  <c r="CD6" i="86"/>
  <c r="CD9" i="86"/>
  <c r="CD5" i="86"/>
  <c r="BI10" i="86"/>
  <c r="BK17" i="86"/>
  <c r="BN10" i="86"/>
  <c r="BI7" i="86"/>
  <c r="BC5" i="86"/>
  <c r="BN6" i="86"/>
  <c r="BX6" i="86"/>
  <c r="BX10" i="86"/>
  <c r="BL5" i="86"/>
  <c r="BF5" i="86"/>
  <c r="BF17" i="86" s="1"/>
  <c r="BF18" i="86" s="1"/>
  <c r="BP7" i="86"/>
  <c r="BR6" i="86"/>
  <c r="BQ5" i="86"/>
  <c r="BY17" i="86"/>
  <c r="BY10" i="86"/>
  <c r="BY8" i="86"/>
  <c r="BY9" i="86"/>
  <c r="BY7" i="86"/>
  <c r="BY5" i="86"/>
  <c r="BO17" i="86"/>
  <c r="BJ17" i="86"/>
  <c r="BE17" i="86"/>
  <c r="BE9" i="86"/>
  <c r="BE7" i="86"/>
  <c r="BE10" i="86"/>
  <c r="BE8" i="86"/>
  <c r="BE6" i="86"/>
  <c r="BC17" i="86"/>
  <c r="J10" i="53"/>
  <c r="K10" i="53"/>
  <c r="L10" i="53"/>
  <c r="M10" i="53"/>
  <c r="N10" i="53"/>
  <c r="I10" i="53"/>
  <c r="H10" i="53"/>
  <c r="AO8" i="86"/>
  <c r="BD8" i="86" s="1"/>
  <c r="AO9" i="86"/>
  <c r="BD9" i="86" s="1"/>
  <c r="AO11" i="86"/>
  <c r="BD11" i="86" s="1"/>
  <c r="AO12" i="86"/>
  <c r="BD12" i="86" s="1"/>
  <c r="AO13" i="86"/>
  <c r="BD13" i="86" s="1"/>
  <c r="AO14" i="86"/>
  <c r="BD14" i="86" s="1"/>
  <c r="AO15" i="86"/>
  <c r="BD15" i="86" s="1"/>
  <c r="AN10" i="86"/>
  <c r="BO10" i="86" l="1"/>
  <c r="BK18" i="86"/>
  <c r="CI10" i="86"/>
  <c r="CE18" i="86"/>
  <c r="CQ10" i="86"/>
  <c r="CQ6" i="86"/>
  <c r="CI5" i="86"/>
  <c r="CI7" i="86"/>
  <c r="CN7" i="86"/>
  <c r="CN9" i="86"/>
  <c r="CN6" i="86"/>
  <c r="CN10" i="86"/>
  <c r="CN5" i="86"/>
  <c r="BO9" i="86"/>
  <c r="BT17" i="86"/>
  <c r="CS11" i="86"/>
  <c r="CS12" i="86"/>
  <c r="CS15" i="86"/>
  <c r="CS14" i="86"/>
  <c r="CS13" i="86"/>
  <c r="BP5" i="86"/>
  <c r="CO5" i="86" s="1"/>
  <c r="CO7" i="86"/>
  <c r="BO8" i="86"/>
  <c r="BX7" i="86"/>
  <c r="BW5" i="86"/>
  <c r="CC5" i="86" s="1"/>
  <c r="BV17" i="86"/>
  <c r="CK5" i="86"/>
  <c r="CP5" i="86" s="1"/>
  <c r="CG17" i="86"/>
  <c r="CN17" i="86"/>
  <c r="CI6" i="86"/>
  <c r="CI8" i="86"/>
  <c r="CI9" i="86"/>
  <c r="CN8" i="86"/>
  <c r="BO7" i="86"/>
  <c r="BO6" i="86"/>
  <c r="BO5" i="86"/>
  <c r="BQ17" i="86"/>
  <c r="BQ18" i="86" s="1"/>
  <c r="BM5" i="86"/>
  <c r="BL17" i="86"/>
  <c r="BR7" i="86"/>
  <c r="BH5" i="86"/>
  <c r="BI5" i="86" s="1"/>
  <c r="AT15" i="86"/>
  <c r="AT13" i="86"/>
  <c r="AT11" i="86"/>
  <c r="AO10" i="86"/>
  <c r="BD10" i="86" s="1"/>
  <c r="AO6" i="86"/>
  <c r="BD6" i="86" s="1"/>
  <c r="AQ13" i="86"/>
  <c r="AQ17" i="86" s="1"/>
  <c r="AQ15" i="86"/>
  <c r="AT14" i="86"/>
  <c r="AT12" i="86"/>
  <c r="AT8" i="86"/>
  <c r="AQ14" i="86"/>
  <c r="E10" i="54"/>
  <c r="F10" i="54"/>
  <c r="G10" i="54"/>
  <c r="H10" i="54"/>
  <c r="I10" i="54"/>
  <c r="J10" i="54"/>
  <c r="K10" i="54"/>
  <c r="L10" i="54"/>
  <c r="M10" i="54"/>
  <c r="N10" i="54"/>
  <c r="D10" i="54"/>
  <c r="G10" i="53"/>
  <c r="F10" i="53"/>
  <c r="E10" i="53"/>
  <c r="D10" i="53"/>
  <c r="BM17" i="86" l="1"/>
  <c r="BL18" i="86"/>
  <c r="BW17" i="86"/>
  <c r="CC17" i="86" s="1"/>
  <c r="BV18" i="86"/>
  <c r="CQ5" i="86"/>
  <c r="CQ7" i="86"/>
  <c r="CK17" i="86"/>
  <c r="CL5" i="86"/>
  <c r="BJ9" i="86"/>
  <c r="BJ8" i="86"/>
  <c r="BJ6" i="86"/>
  <c r="BJ10" i="86"/>
  <c r="BJ7" i="86"/>
  <c r="BH17" i="86"/>
  <c r="BI17" i="86" s="1"/>
  <c r="BP17" i="86"/>
  <c r="BR5" i="86"/>
  <c r="BJ5" i="86"/>
  <c r="AN5" i="86"/>
  <c r="AO5" i="86" s="1"/>
  <c r="BX5" i="86"/>
  <c r="BN5" i="86"/>
  <c r="AO7" i="86"/>
  <c r="BD7" i="86" s="1"/>
  <c r="AM17" i="86"/>
  <c r="AM18" i="86" s="1"/>
  <c r="AJ8" i="86"/>
  <c r="AP8" i="86" s="1"/>
  <c r="AJ9" i="86"/>
  <c r="AP9" i="86" s="1"/>
  <c r="AJ11" i="86"/>
  <c r="AP11" i="86" s="1"/>
  <c r="AJ12" i="86"/>
  <c r="AP12" i="86" s="1"/>
  <c r="AJ13" i="86"/>
  <c r="AP13" i="86" s="1"/>
  <c r="AJ14" i="86"/>
  <c r="AP14" i="86" s="1"/>
  <c r="AJ15" i="86"/>
  <c r="AP15" i="86" s="1"/>
  <c r="AE8" i="86"/>
  <c r="AE9" i="86"/>
  <c r="AE11" i="86"/>
  <c r="AE12" i="86"/>
  <c r="AE13" i="86"/>
  <c r="AE14" i="86"/>
  <c r="AE15" i="86"/>
  <c r="AD10" i="86"/>
  <c r="AG13" i="86"/>
  <c r="CO17" i="86" l="1"/>
  <c r="BP18" i="86"/>
  <c r="CL17" i="86"/>
  <c r="CK18" i="86"/>
  <c r="BX17" i="86"/>
  <c r="BR17" i="86"/>
  <c r="AL15" i="86"/>
  <c r="CP17" i="86"/>
  <c r="CS10" i="86"/>
  <c r="CS8" i="86"/>
  <c r="CS9" i="86"/>
  <c r="CS6" i="86"/>
  <c r="CS7" i="86"/>
  <c r="BN17" i="86"/>
  <c r="AQ9" i="86"/>
  <c r="AQ8" i="86"/>
  <c r="AQ6" i="86"/>
  <c r="AQ10" i="86"/>
  <c r="AQ7" i="86"/>
  <c r="AQ5" i="86"/>
  <c r="BT9" i="86"/>
  <c r="BT10" i="86"/>
  <c r="BT8" i="86"/>
  <c r="BT6" i="86"/>
  <c r="BT7" i="86"/>
  <c r="BD5" i="86"/>
  <c r="BT5" i="86"/>
  <c r="AE10" i="86"/>
  <c r="AG12" i="86"/>
  <c r="AJ10" i="86"/>
  <c r="AS10" i="86"/>
  <c r="AK14" i="86"/>
  <c r="AK12" i="86"/>
  <c r="AK8" i="86"/>
  <c r="AL11" i="86"/>
  <c r="AL13" i="86"/>
  <c r="AE6" i="86"/>
  <c r="AK15" i="86"/>
  <c r="AK13" i="86"/>
  <c r="AK11" i="86"/>
  <c r="AK9" i="86"/>
  <c r="AL12" i="86"/>
  <c r="AL14" i="86"/>
  <c r="AN17" i="86"/>
  <c r="AN18" i="86" s="1"/>
  <c r="Z12" i="86"/>
  <c r="Z13" i="86"/>
  <c r="AW13" i="86" s="1"/>
  <c r="Z14" i="86"/>
  <c r="AW14" i="86" s="1"/>
  <c r="Z15" i="86"/>
  <c r="AW15" i="86" s="1"/>
  <c r="Z11" i="86"/>
  <c r="AW11" i="86" s="1"/>
  <c r="Z8" i="86"/>
  <c r="AW8" i="86" s="1"/>
  <c r="Z9" i="86"/>
  <c r="AW9" i="86" s="1"/>
  <c r="Y8" i="86"/>
  <c r="Y9" i="86"/>
  <c r="AV9" i="86" s="1"/>
  <c r="Y11" i="86"/>
  <c r="AV11" i="86" s="1"/>
  <c r="Y12" i="86"/>
  <c r="AV12" i="86" s="1"/>
  <c r="Y13" i="86"/>
  <c r="AV13" i="86" s="1"/>
  <c r="Y14" i="86"/>
  <c r="AV14" i="86" s="1"/>
  <c r="Y15" i="86"/>
  <c r="AV15" i="86" s="1"/>
  <c r="V8" i="86"/>
  <c r="V9" i="86"/>
  <c r="V11" i="86"/>
  <c r="V12" i="86"/>
  <c r="V13" i="86"/>
  <c r="V14" i="86"/>
  <c r="V15" i="86"/>
  <c r="CQ17" i="86" l="1"/>
  <c r="CP18" i="86"/>
  <c r="CS5" i="86"/>
  <c r="CO18" i="86"/>
  <c r="AA9" i="86"/>
  <c r="AF9" i="86" s="1"/>
  <c r="AA13" i="86"/>
  <c r="AF13" i="86" s="1"/>
  <c r="CU14" i="86"/>
  <c r="CU12" i="86"/>
  <c r="AW12" i="86"/>
  <c r="CT8" i="86"/>
  <c r="AV8" i="86"/>
  <c r="AX8" i="86" s="1"/>
  <c r="CT15" i="86"/>
  <c r="CT13" i="86"/>
  <c r="CT11" i="86"/>
  <c r="CU8" i="86"/>
  <c r="CU15" i="86"/>
  <c r="CV15" i="86" s="1"/>
  <c r="CU13" i="86"/>
  <c r="CV13" i="86" s="1"/>
  <c r="CT14" i="86"/>
  <c r="CT12" i="86"/>
  <c r="CT9" i="86"/>
  <c r="CU9" i="86"/>
  <c r="AX11" i="86"/>
  <c r="CU11" i="86"/>
  <c r="CU10" i="86" s="1"/>
  <c r="AU15" i="86"/>
  <c r="AA15" i="86"/>
  <c r="AF15" i="86" s="1"/>
  <c r="AA11" i="86"/>
  <c r="AA8" i="86"/>
  <c r="AF8" i="86" s="1"/>
  <c r="AO17" i="86"/>
  <c r="BD17" i="86" s="1"/>
  <c r="AU12" i="86"/>
  <c r="AU11" i="86"/>
  <c r="AU14" i="86"/>
  <c r="AU13" i="86"/>
  <c r="AE7" i="86"/>
  <c r="AD5" i="86"/>
  <c r="AA14" i="86"/>
  <c r="AA12" i="86"/>
  <c r="AI5" i="86"/>
  <c r="AT10" i="86"/>
  <c r="AP10" i="86"/>
  <c r="AK10" i="86"/>
  <c r="AC5" i="86"/>
  <c r="Q14" i="86"/>
  <c r="Q15" i="86"/>
  <c r="P5" i="86"/>
  <c r="O5" i="86"/>
  <c r="O17" i="86" s="1"/>
  <c r="O18" i="86" s="1"/>
  <c r="L8" i="86"/>
  <c r="L9" i="86"/>
  <c r="L11" i="86"/>
  <c r="L12" i="86"/>
  <c r="L13" i="86"/>
  <c r="L14" i="86"/>
  <c r="L15" i="86"/>
  <c r="K10" i="86"/>
  <c r="CT10" i="86" l="1"/>
  <c r="CX16" i="86" s="1"/>
  <c r="CV8" i="86"/>
  <c r="R14" i="86"/>
  <c r="S9" i="86"/>
  <c r="S8" i="86"/>
  <c r="S10" i="86"/>
  <c r="S6" i="86"/>
  <c r="S7" i="86"/>
  <c r="P17" i="86"/>
  <c r="Q5" i="86"/>
  <c r="CV9" i="86"/>
  <c r="AX14" i="86"/>
  <c r="AX12" i="86"/>
  <c r="AX13" i="86"/>
  <c r="J17" i="86"/>
  <c r="AX15" i="86"/>
  <c r="AF11" i="86"/>
  <c r="CV11" i="86"/>
  <c r="CV14" i="86"/>
  <c r="CX12" i="86"/>
  <c r="CV12" i="86"/>
  <c r="AU17" i="86"/>
  <c r="L6" i="86"/>
  <c r="V6" i="86"/>
  <c r="Z6" i="86"/>
  <c r="Z10" i="86"/>
  <c r="V10" i="86"/>
  <c r="W10" i="86" s="1"/>
  <c r="Y6" i="86"/>
  <c r="AV6" i="86" s="1"/>
  <c r="AV10" i="86"/>
  <c r="AC17" i="86"/>
  <c r="AS5" i="86"/>
  <c r="AI17" i="86"/>
  <c r="AI18" i="86" s="1"/>
  <c r="AF12" i="86"/>
  <c r="AF14" i="86"/>
  <c r="AE5" i="86"/>
  <c r="AX9" i="86"/>
  <c r="L7" i="86"/>
  <c r="R7" i="86" s="1"/>
  <c r="L10" i="86"/>
  <c r="AG5" i="86" l="1"/>
  <c r="AC18" i="86"/>
  <c r="AZ16" i="86"/>
  <c r="AZ15" i="86"/>
  <c r="J18" i="86"/>
  <c r="N10" i="86"/>
  <c r="Q17" i="86"/>
  <c r="P18" i="86"/>
  <c r="CX15" i="86"/>
  <c r="CV10" i="86"/>
  <c r="N8" i="86"/>
  <c r="N6" i="86"/>
  <c r="N9" i="86"/>
  <c r="N7" i="86"/>
  <c r="CU6" i="86"/>
  <c r="AW6" i="86"/>
  <c r="M6" i="86"/>
  <c r="R6" i="86"/>
  <c r="Y7" i="86"/>
  <c r="AV7" i="86" s="1"/>
  <c r="T5" i="86"/>
  <c r="Y5" i="86" s="1"/>
  <c r="K5" i="86"/>
  <c r="CX13" i="86"/>
  <c r="CX11" i="86"/>
  <c r="CX14" i="86"/>
  <c r="AB13" i="86"/>
  <c r="AB12" i="86"/>
  <c r="AB11" i="86"/>
  <c r="AB15" i="86"/>
  <c r="AB14" i="86"/>
  <c r="AA6" i="86"/>
  <c r="AG9" i="86"/>
  <c r="AG8" i="86"/>
  <c r="AG6" i="86"/>
  <c r="AG7" i="86"/>
  <c r="AA10" i="86"/>
  <c r="AW10" i="86"/>
  <c r="AX10" i="86" s="1"/>
  <c r="S5" i="86"/>
  <c r="D6" i="86"/>
  <c r="D7" i="86" s="1"/>
  <c r="CH8" i="86"/>
  <c r="CH9" i="86"/>
  <c r="CH11" i="86"/>
  <c r="CH12" i="86"/>
  <c r="CH13" i="86"/>
  <c r="CH14" i="86"/>
  <c r="CH15" i="86"/>
  <c r="CH10" i="86"/>
  <c r="D10" i="86"/>
  <c r="CX17" i="86" l="1"/>
  <c r="L5" i="86"/>
  <c r="M5" i="86" s="1"/>
  <c r="K17" i="86"/>
  <c r="AF10" i="86"/>
  <c r="AF6" i="86"/>
  <c r="AZ14" i="86"/>
  <c r="AZ13" i="86"/>
  <c r="AZ12" i="86"/>
  <c r="AZ11" i="86"/>
  <c r="AZ17" i="86" s="1"/>
  <c r="D5" i="86"/>
  <c r="CH6" i="86"/>
  <c r="D17" i="86"/>
  <c r="L17" i="86" l="1"/>
  <c r="M17" i="86" s="1"/>
  <c r="K18" i="86"/>
  <c r="R5" i="86"/>
  <c r="CH7" i="86"/>
  <c r="CT6" i="86"/>
  <c r="AG15" i="86"/>
  <c r="X15" i="86"/>
  <c r="AG14" i="86"/>
  <c r="AG11" i="86"/>
  <c r="CV6" i="86" l="1"/>
  <c r="CT7" i="86"/>
  <c r="AJ6" i="86"/>
  <c r="AD17" i="86"/>
  <c r="AD18" i="86" s="1"/>
  <c r="X14" i="86"/>
  <c r="X13" i="86"/>
  <c r="X12" i="86"/>
  <c r="X11" i="86"/>
  <c r="S13" i="86"/>
  <c r="S14" i="86"/>
  <c r="S12" i="86"/>
  <c r="N12" i="86"/>
  <c r="S11" i="86"/>
  <c r="N11" i="86"/>
  <c r="W15" i="86"/>
  <c r="W11" i="86"/>
  <c r="W9" i="86"/>
  <c r="CH5" i="86" l="1"/>
  <c r="CT5" i="86"/>
  <c r="AE17" i="86"/>
  <c r="AS17" i="86"/>
  <c r="AS18" i="86" s="1"/>
  <c r="AJ7" i="86"/>
  <c r="AP6" i="86"/>
  <c r="AK6" i="86"/>
  <c r="AH5" i="86"/>
  <c r="AR5" i="86" s="1"/>
  <c r="AV5" i="86" s="1"/>
  <c r="AT6" i="86"/>
  <c r="W6" i="86"/>
  <c r="W8" i="86"/>
  <c r="W12" i="86"/>
  <c r="W14" i="86"/>
  <c r="AG10" i="86"/>
  <c r="T17" i="86"/>
  <c r="T18" i="86" s="1"/>
  <c r="W13" i="86"/>
  <c r="CT17" i="86" l="1"/>
  <c r="CX5" i="86" s="1"/>
  <c r="Y17" i="86"/>
  <c r="AX6" i="86"/>
  <c r="AK7" i="86"/>
  <c r="AP7" i="86"/>
  <c r="AT7" i="86"/>
  <c r="AH17" i="86"/>
  <c r="AH18" i="86" s="1"/>
  <c r="AJ5" i="86"/>
  <c r="N5" i="86"/>
  <c r="X5" i="86"/>
  <c r="AG17" i="86"/>
  <c r="X9" i="86"/>
  <c r="X7" i="86"/>
  <c r="X10" i="86"/>
  <c r="X8" i="86"/>
  <c r="X6" i="86"/>
  <c r="AB8" i="86" l="1"/>
  <c r="Y18" i="86"/>
  <c r="AP5" i="86"/>
  <c r="AK5" i="86"/>
  <c r="AB10" i="86"/>
  <c r="AB7" i="86"/>
  <c r="CX8" i="86"/>
  <c r="CX9" i="86"/>
  <c r="CX10" i="86"/>
  <c r="CX6" i="86"/>
  <c r="CX7" i="86"/>
  <c r="AB5" i="86"/>
  <c r="AB6" i="86"/>
  <c r="AB9" i="86"/>
  <c r="AL8" i="86"/>
  <c r="AR17" i="86"/>
  <c r="AR18" i="86" s="1"/>
  <c r="AL10" i="86"/>
  <c r="AJ17" i="86"/>
  <c r="AL6" i="86"/>
  <c r="AL7" i="86"/>
  <c r="AL9" i="86"/>
  <c r="AL5" i="86"/>
  <c r="AT5" i="86"/>
  <c r="X17" i="86"/>
  <c r="S17" i="86"/>
  <c r="C6" i="54"/>
  <c r="C7" i="54"/>
  <c r="C8" i="54"/>
  <c r="C9" i="54"/>
  <c r="C5" i="54"/>
  <c r="B7" i="54"/>
  <c r="B8" i="54"/>
  <c r="AV17" i="86" l="1"/>
  <c r="AU9" i="86"/>
  <c r="AU5" i="86"/>
  <c r="AL17" i="86"/>
  <c r="AK17" i="86"/>
  <c r="AP17" i="86"/>
  <c r="AU8" i="86"/>
  <c r="AU10" i="86"/>
  <c r="AU6" i="86"/>
  <c r="AU7" i="86"/>
  <c r="AT17" i="86"/>
  <c r="R8" i="86"/>
  <c r="R9" i="86"/>
  <c r="AZ5" i="86" l="1"/>
  <c r="AV18" i="86"/>
  <c r="AZ9" i="86"/>
  <c r="AZ8" i="86"/>
  <c r="AZ10" i="86"/>
  <c r="AZ6" i="86"/>
  <c r="AZ7" i="86"/>
  <c r="R13" i="86"/>
  <c r="R12" i="86"/>
  <c r="R10" i="86"/>
  <c r="R17" i="86"/>
  <c r="R15" i="86"/>
  <c r="R11" i="86"/>
  <c r="N14" i="86"/>
  <c r="N13" i="86"/>
  <c r="C8" i="53"/>
  <c r="C7" i="53"/>
  <c r="N17" i="86" l="1"/>
  <c r="C6" i="53"/>
  <c r="C9" i="53"/>
  <c r="C5" i="53"/>
  <c r="M15" i="86"/>
  <c r="M14" i="86"/>
  <c r="M13" i="86"/>
  <c r="M12" i="86"/>
  <c r="M11" i="86"/>
  <c r="M9" i="86"/>
  <c r="M8" i="86"/>
  <c r="M7" i="86"/>
  <c r="C10" i="53" l="1"/>
  <c r="B5" i="54"/>
  <c r="B6" i="54"/>
  <c r="B9" i="54"/>
  <c r="M10" i="86"/>
  <c r="B8" i="53" l="1"/>
  <c r="B7" i="53"/>
  <c r="B9" i="53"/>
  <c r="B6" i="53"/>
  <c r="B5" i="53"/>
  <c r="CH17" i="86" l="1"/>
  <c r="B10" i="53"/>
  <c r="CE9" i="64" l="1"/>
  <c r="CF9" i="64"/>
  <c r="CE10" i="64"/>
  <c r="CF10" i="64"/>
  <c r="CE11" i="64"/>
  <c r="CF11" i="64"/>
  <c r="CE12" i="64"/>
  <c r="CF12" i="64"/>
  <c r="CE13" i="64"/>
  <c r="CF13" i="64"/>
  <c r="CF5" i="64"/>
  <c r="CF6" i="64"/>
  <c r="CF7" i="64"/>
  <c r="CE6" i="64"/>
  <c r="CE7" i="64"/>
  <c r="CG7" i="64" l="1"/>
  <c r="CG6" i="64"/>
  <c r="CG13" i="64"/>
  <c r="CG12" i="64"/>
  <c r="CG11" i="64"/>
  <c r="CG10" i="64"/>
  <c r="CG9" i="64"/>
  <c r="CA8" i="64" l="1"/>
  <c r="BZ8" i="64"/>
  <c r="CA4" i="64"/>
  <c r="BZ5" i="64"/>
  <c r="BZ4" i="64"/>
  <c r="CE5" i="64" l="1"/>
  <c r="BZ14" i="64"/>
  <c r="CA14" i="64"/>
  <c r="CD13" i="64"/>
  <c r="CB13" i="64"/>
  <c r="CD12" i="64"/>
  <c r="CB12" i="64"/>
  <c r="CD11" i="64"/>
  <c r="CB11" i="64"/>
  <c r="CD10" i="64"/>
  <c r="CB10" i="64"/>
  <c r="CD9" i="64"/>
  <c r="CB9" i="64"/>
  <c r="CB8" i="64"/>
  <c r="CB7" i="64"/>
  <c r="CB6" i="64"/>
  <c r="CB5" i="64"/>
  <c r="CG5" i="64" l="1"/>
  <c r="CD7" i="64"/>
  <c r="CD5" i="64"/>
  <c r="CD8" i="64"/>
  <c r="CD6" i="64"/>
  <c r="CB14" i="64"/>
  <c r="CB4" i="64"/>
  <c r="CD4" i="64"/>
  <c r="BV4" i="64"/>
  <c r="BV14" i="64" s="1"/>
  <c r="CD14" i="64" l="1"/>
  <c r="BU4" i="64"/>
  <c r="BU14" i="64" l="1"/>
  <c r="BQ8" i="64"/>
  <c r="BP8" i="64"/>
  <c r="A8" i="64"/>
  <c r="BQ4" i="64"/>
  <c r="BQ14" i="64" l="1"/>
  <c r="CF4" i="64"/>
  <c r="CE8" i="64"/>
  <c r="CF8" i="64"/>
  <c r="BP4" i="64"/>
  <c r="CE4" i="64" s="1"/>
  <c r="BW14" i="64"/>
  <c r="CC14" i="64" s="1"/>
  <c r="BY13" i="64"/>
  <c r="BW13" i="64"/>
  <c r="CC13" i="64" s="1"/>
  <c r="BY12" i="64"/>
  <c r="BW12" i="64"/>
  <c r="CC12" i="64" s="1"/>
  <c r="BY11" i="64"/>
  <c r="BW11" i="64"/>
  <c r="CC11" i="64" s="1"/>
  <c r="BY10" i="64"/>
  <c r="BW10" i="64"/>
  <c r="CC10" i="64" s="1"/>
  <c r="BY9" i="64"/>
  <c r="BW9" i="64"/>
  <c r="CC9" i="64" s="1"/>
  <c r="BY8" i="64"/>
  <c r="BW8" i="64"/>
  <c r="CC8" i="64" s="1"/>
  <c r="BY7" i="64"/>
  <c r="BW7" i="64"/>
  <c r="CC7" i="64" s="1"/>
  <c r="BY6" i="64"/>
  <c r="BW6" i="64"/>
  <c r="CC6" i="64" s="1"/>
  <c r="BY5" i="64"/>
  <c r="BW5" i="64"/>
  <c r="CC5" i="64" s="1"/>
  <c r="BY4" i="64"/>
  <c r="BW4" i="64"/>
  <c r="CC4" i="64" s="1"/>
  <c r="BR13" i="64"/>
  <c r="BR12" i="64"/>
  <c r="BR11" i="64"/>
  <c r="BR10" i="64"/>
  <c r="BR9" i="64"/>
  <c r="BR8" i="64"/>
  <c r="BR7" i="64"/>
  <c r="BR6" i="64"/>
  <c r="BR5" i="64"/>
  <c r="BR4" i="64"/>
  <c r="BT13" i="64"/>
  <c r="BT12" i="64"/>
  <c r="BT11" i="64"/>
  <c r="BT10" i="64"/>
  <c r="BT9" i="64"/>
  <c r="CG8" i="64" l="1"/>
  <c r="CH13" i="64"/>
  <c r="CH11" i="64"/>
  <c r="CH9" i="64"/>
  <c r="CH12" i="64"/>
  <c r="CH10" i="64"/>
  <c r="CG4" i="64"/>
  <c r="CF14" i="64"/>
  <c r="CE14" i="64"/>
  <c r="BY14" i="64"/>
  <c r="BP14" i="64"/>
  <c r="BT7" i="64"/>
  <c r="BR14" i="64"/>
  <c r="BT8" i="64"/>
  <c r="BT5" i="64"/>
  <c r="BT6" i="64"/>
  <c r="BT4" i="64"/>
  <c r="CG14" i="64" l="1"/>
  <c r="CH6" i="64"/>
  <c r="CH7" i="64"/>
  <c r="CH5" i="64"/>
  <c r="CH4" i="64"/>
  <c r="CH8" i="64"/>
  <c r="BT14" i="64"/>
  <c r="CH14" i="64" l="1"/>
  <c r="BA8" i="64" l="1"/>
  <c r="AZ8" i="64"/>
  <c r="BA4" i="64"/>
  <c r="BA14" i="64" s="1"/>
  <c r="AZ4" i="64"/>
  <c r="BB13" i="64"/>
  <c r="BS13" i="64" s="1"/>
  <c r="BB12" i="64"/>
  <c r="BS12" i="64" s="1"/>
  <c r="BB11" i="64"/>
  <c r="BS11" i="64" s="1"/>
  <c r="BB10" i="64"/>
  <c r="BS10" i="64" s="1"/>
  <c r="BB9" i="64"/>
  <c r="BS9" i="64" s="1"/>
  <c r="BB7" i="64"/>
  <c r="BS7" i="64" s="1"/>
  <c r="BB6" i="64"/>
  <c r="BS6" i="64" s="1"/>
  <c r="BB5" i="64"/>
  <c r="BS5" i="64" s="1"/>
  <c r="BD13" i="64" l="1"/>
  <c r="AZ14" i="64"/>
  <c r="BD5" i="64" s="1"/>
  <c r="BB4" i="64"/>
  <c r="BS4" i="64" s="1"/>
  <c r="BB8" i="64"/>
  <c r="BS8" i="64" s="1"/>
  <c r="BD10" i="64"/>
  <c r="BD12" i="64"/>
  <c r="BD9" i="64"/>
  <c r="BD11" i="64"/>
  <c r="AV8" i="64"/>
  <c r="AV15" i="64"/>
  <c r="AU8" i="64"/>
  <c r="AU15" i="64"/>
  <c r="AV4" i="64"/>
  <c r="AU4" i="64"/>
  <c r="BD6" i="64" l="1"/>
  <c r="BD7" i="64"/>
  <c r="BD8" i="64"/>
  <c r="BD4" i="64"/>
  <c r="BB14" i="64"/>
  <c r="BS14" i="64" s="1"/>
  <c r="AY13" i="64"/>
  <c r="AW13" i="64"/>
  <c r="AY12" i="64"/>
  <c r="AW12" i="64"/>
  <c r="AY11" i="64"/>
  <c r="AW11" i="64"/>
  <c r="AY10" i="64"/>
  <c r="AW10" i="64"/>
  <c r="AY9" i="64"/>
  <c r="AW9" i="64"/>
  <c r="AW8" i="64"/>
  <c r="AW7" i="64"/>
  <c r="AW6" i="64"/>
  <c r="AW5" i="64"/>
  <c r="AW4" i="64"/>
  <c r="AU14" i="64"/>
  <c r="BD14" i="64" l="1"/>
  <c r="BC6" i="64"/>
  <c r="BC8" i="64"/>
  <c r="BC5" i="64"/>
  <c r="BC7" i="64"/>
  <c r="BC9" i="64"/>
  <c r="BC10" i="64"/>
  <c r="BC11" i="64"/>
  <c r="BC12" i="64"/>
  <c r="BC13" i="64"/>
  <c r="BC4" i="64"/>
  <c r="AY8" i="64"/>
  <c r="AY6" i="64"/>
  <c r="AY7" i="64"/>
  <c r="AY5" i="64"/>
  <c r="AV14" i="64"/>
  <c r="AW14" i="64" s="1"/>
  <c r="AY4" i="64"/>
  <c r="AQ4" i="64"/>
  <c r="AQ14" i="64" s="1"/>
  <c r="AP4" i="64"/>
  <c r="AY14" i="64" l="1"/>
  <c r="AP14" i="64"/>
  <c r="AT4" i="64" s="1"/>
  <c r="BC14" i="64"/>
  <c r="AT13" i="64"/>
  <c r="AT12" i="64"/>
  <c r="AT11" i="64"/>
  <c r="AT10" i="64"/>
  <c r="AT9" i="64"/>
  <c r="AR13" i="64"/>
  <c r="AR12" i="64"/>
  <c r="AX12" i="64" s="1"/>
  <c r="AR11" i="64"/>
  <c r="AR10" i="64"/>
  <c r="AX10" i="64" s="1"/>
  <c r="AR9" i="64"/>
  <c r="AX9" i="64" s="1"/>
  <c r="AR8" i="64"/>
  <c r="AR7" i="64"/>
  <c r="AR6" i="64"/>
  <c r="AR5" i="64"/>
  <c r="AR4" i="64"/>
  <c r="AT8" i="64" l="1"/>
  <c r="AX4" i="64"/>
  <c r="AX6" i="64"/>
  <c r="AX8" i="64"/>
  <c r="AX5" i="64"/>
  <c r="AX7" i="64"/>
  <c r="AX11" i="64"/>
  <c r="AX13" i="64"/>
  <c r="AT5" i="64"/>
  <c r="AT7" i="64"/>
  <c r="AT6" i="64"/>
  <c r="AR14" i="64"/>
  <c r="AM5" i="64"/>
  <c r="AM6" i="64"/>
  <c r="AM7" i="64"/>
  <c r="AM9" i="64"/>
  <c r="AM10" i="64"/>
  <c r="AM11" i="64"/>
  <c r="AM12" i="64"/>
  <c r="AM13" i="64"/>
  <c r="BF12" i="64" l="1"/>
  <c r="CK12" i="64" s="1"/>
  <c r="BF10" i="64"/>
  <c r="CK10" i="64" s="1"/>
  <c r="BF7" i="64"/>
  <c r="CK7" i="64" s="1"/>
  <c r="BF5" i="64"/>
  <c r="CK5" i="64" s="1"/>
  <c r="BF13" i="64"/>
  <c r="CK13" i="64" s="1"/>
  <c r="BF11" i="64"/>
  <c r="CK11" i="64" s="1"/>
  <c r="BF9" i="64"/>
  <c r="CK9" i="64" s="1"/>
  <c r="BF6" i="64"/>
  <c r="CK6" i="64" s="1"/>
  <c r="AX14" i="64"/>
  <c r="AT14" i="64"/>
  <c r="AL5" i="64"/>
  <c r="AL6" i="64"/>
  <c r="AL7" i="64"/>
  <c r="AL9" i="64"/>
  <c r="AL10" i="64"/>
  <c r="AL11" i="64"/>
  <c r="AL12" i="64"/>
  <c r="AL13" i="64"/>
  <c r="BF8" i="64" l="1"/>
  <c r="CK8" i="64" s="1"/>
  <c r="BE12" i="64"/>
  <c r="CJ12" i="64" s="1"/>
  <c r="BE10" i="64"/>
  <c r="CJ10" i="64" s="1"/>
  <c r="BE13" i="64"/>
  <c r="CJ13" i="64" s="1"/>
  <c r="BE11" i="64"/>
  <c r="CJ11" i="64" s="1"/>
  <c r="BE9" i="64"/>
  <c r="CJ9" i="64" s="1"/>
  <c r="BN8" i="64"/>
  <c r="BN6" i="64"/>
  <c r="BN9" i="64"/>
  <c r="BN11" i="64"/>
  <c r="BN13" i="64"/>
  <c r="BN5" i="64"/>
  <c r="BN7" i="64"/>
  <c r="BN10" i="64"/>
  <c r="BN12" i="64"/>
  <c r="BM11" i="64"/>
  <c r="BE6" i="64"/>
  <c r="CJ6" i="64" s="1"/>
  <c r="BG10" i="64"/>
  <c r="BE7" i="64"/>
  <c r="CJ7" i="64" s="1"/>
  <c r="BE5" i="64"/>
  <c r="CJ5" i="64" s="1"/>
  <c r="AN10" i="64"/>
  <c r="AN11" i="64"/>
  <c r="AN12" i="64"/>
  <c r="AN13" i="64"/>
  <c r="AN5" i="64"/>
  <c r="AN6" i="64"/>
  <c r="AN7" i="64"/>
  <c r="AN9" i="64"/>
  <c r="BG12" i="64" l="1"/>
  <c r="BG9" i="64"/>
  <c r="BX9" i="64" s="1"/>
  <c r="BE8" i="64"/>
  <c r="CJ8" i="64" s="1"/>
  <c r="BO9" i="64"/>
  <c r="BM9" i="64"/>
  <c r="BM13" i="64"/>
  <c r="BG13" i="64"/>
  <c r="BO12" i="64"/>
  <c r="BX12" i="64"/>
  <c r="BM5" i="64"/>
  <c r="BM7" i="64"/>
  <c r="BO10" i="64"/>
  <c r="BX10" i="64"/>
  <c r="BM6" i="64"/>
  <c r="BG11" i="64"/>
  <c r="BM10" i="64"/>
  <c r="BM12" i="64"/>
  <c r="BH9" i="64"/>
  <c r="BG8" i="64"/>
  <c r="BG5" i="64"/>
  <c r="BG7" i="64"/>
  <c r="BH11" i="64"/>
  <c r="BG6" i="64"/>
  <c r="AH8" i="64"/>
  <c r="AG8" i="64"/>
  <c r="AH4" i="64"/>
  <c r="AG4" i="64"/>
  <c r="AI13" i="64"/>
  <c r="AS13" i="64" s="1"/>
  <c r="AI12" i="64"/>
  <c r="AS12" i="64" s="1"/>
  <c r="AI11" i="64"/>
  <c r="AS11" i="64" s="1"/>
  <c r="AI10" i="64"/>
  <c r="AS10" i="64" s="1"/>
  <c r="AI9" i="64"/>
  <c r="AS9" i="64" s="1"/>
  <c r="AI7" i="64"/>
  <c r="AS7" i="64" s="1"/>
  <c r="AI6" i="64"/>
  <c r="AS6" i="64" s="1"/>
  <c r="AI5" i="64"/>
  <c r="AS5" i="64" s="1"/>
  <c r="BH12" i="64" l="1"/>
  <c r="BH13" i="64"/>
  <c r="BH10" i="64"/>
  <c r="BM8" i="64"/>
  <c r="BO7" i="64"/>
  <c r="BX7" i="64"/>
  <c r="BO13" i="64"/>
  <c r="BX13" i="64"/>
  <c r="AI8" i="64"/>
  <c r="AS8" i="64" s="1"/>
  <c r="AL8" i="64"/>
  <c r="AO12" i="64" s="1"/>
  <c r="BO6" i="64"/>
  <c r="BX6" i="64"/>
  <c r="BO5" i="64"/>
  <c r="BX5" i="64"/>
  <c r="BO8" i="64"/>
  <c r="BX8" i="64"/>
  <c r="BO11" i="64"/>
  <c r="BX11" i="64"/>
  <c r="AK12" i="64"/>
  <c r="AK10" i="64"/>
  <c r="AH14" i="64"/>
  <c r="AG14" i="64"/>
  <c r="AK8" i="64" s="1"/>
  <c r="AK9" i="64"/>
  <c r="AK13" i="64"/>
  <c r="AK11" i="64"/>
  <c r="AI4" i="64"/>
  <c r="AS4" i="64" s="1"/>
  <c r="AO11" i="64" l="1"/>
  <c r="AO13" i="64"/>
  <c r="AO9" i="64"/>
  <c r="AO10" i="64"/>
  <c r="AI14" i="64"/>
  <c r="AS14" i="64" s="1"/>
  <c r="AK6" i="64"/>
  <c r="AK5" i="64"/>
  <c r="AK7" i="64"/>
  <c r="AK4" i="64"/>
  <c r="AF10" i="64"/>
  <c r="AF11" i="64"/>
  <c r="AF12" i="64"/>
  <c r="AF13" i="64"/>
  <c r="AC8" i="64"/>
  <c r="AA10" i="64"/>
  <c r="AA11" i="64"/>
  <c r="AA12" i="64"/>
  <c r="AA13" i="64"/>
  <c r="AA9" i="64"/>
  <c r="AC4" i="64"/>
  <c r="AB4" i="64"/>
  <c r="AD13" i="64"/>
  <c r="AD12" i="64"/>
  <c r="AD11" i="64"/>
  <c r="AD10" i="64"/>
  <c r="AJ10" i="64" s="1"/>
  <c r="AD8" i="64"/>
  <c r="AD7" i="64"/>
  <c r="AD6" i="64"/>
  <c r="AD5" i="64"/>
  <c r="AD4" i="64" l="1"/>
  <c r="AM8" i="64"/>
  <c r="AJ6" i="64"/>
  <c r="AJ8" i="64"/>
  <c r="AJ12" i="64"/>
  <c r="AB14" i="64"/>
  <c r="AJ5" i="64"/>
  <c r="AJ7" i="64"/>
  <c r="AJ11" i="64"/>
  <c r="AJ13" i="64"/>
  <c r="AK14" i="64"/>
  <c r="AJ4" i="64"/>
  <c r="AC14" i="64"/>
  <c r="X4" i="64"/>
  <c r="W4" i="64"/>
  <c r="Y13" i="64"/>
  <c r="Y12" i="64"/>
  <c r="AE12" i="64" s="1"/>
  <c r="Y11" i="64"/>
  <c r="Y10" i="64"/>
  <c r="Y9" i="64"/>
  <c r="Y8" i="64"/>
  <c r="Y7" i="64"/>
  <c r="AE7" i="64" s="1"/>
  <c r="Y6" i="64"/>
  <c r="AE6" i="64" s="1"/>
  <c r="Y5" i="64"/>
  <c r="W14" i="64"/>
  <c r="AA5" i="64" s="1"/>
  <c r="AN8" i="64" l="1"/>
  <c r="AA8" i="64"/>
  <c r="AA6" i="64"/>
  <c r="AF5" i="64"/>
  <c r="AF7" i="64"/>
  <c r="AF6" i="64"/>
  <c r="AF8" i="64"/>
  <c r="AE8" i="64"/>
  <c r="X14" i="64"/>
  <c r="Y14" i="64" s="1"/>
  <c r="AE10" i="64"/>
  <c r="AA4" i="64"/>
  <c r="AA7" i="64"/>
  <c r="AF4" i="64"/>
  <c r="AE13" i="64"/>
  <c r="AE11" i="64"/>
  <c r="AE5" i="64"/>
  <c r="AD14" i="64"/>
  <c r="Y4" i="64"/>
  <c r="AE4" i="64" l="1"/>
  <c r="AE14" i="64"/>
  <c r="AJ14" i="64"/>
  <c r="AF14" i="64"/>
  <c r="AA14" i="64"/>
  <c r="V10" i="64" l="1"/>
  <c r="V11" i="64"/>
  <c r="V12" i="64"/>
  <c r="V13" i="64"/>
  <c r="V9" i="64"/>
  <c r="S4" i="64" l="1"/>
  <c r="R4" i="64"/>
  <c r="T13" i="64"/>
  <c r="T12" i="64"/>
  <c r="T11" i="64"/>
  <c r="T10" i="64"/>
  <c r="T9" i="64"/>
  <c r="T8" i="64"/>
  <c r="T7" i="64"/>
  <c r="T6" i="64"/>
  <c r="T5" i="64"/>
  <c r="Z6" i="64" l="1"/>
  <c r="Z8" i="64"/>
  <c r="Z10" i="64"/>
  <c r="Z12" i="64"/>
  <c r="R14" i="64"/>
  <c r="V4" i="64" s="1"/>
  <c r="Z5" i="64"/>
  <c r="Z7" i="64"/>
  <c r="Z9" i="64"/>
  <c r="Z11" i="64"/>
  <c r="Z13" i="64"/>
  <c r="S14" i="64"/>
  <c r="T14" i="64" s="1"/>
  <c r="T4" i="64"/>
  <c r="N4" i="64"/>
  <c r="N14" i="64" s="1"/>
  <c r="M4" i="64"/>
  <c r="M14" i="64" l="1"/>
  <c r="Z14" i="64"/>
  <c r="Z4" i="64"/>
  <c r="V6" i="64"/>
  <c r="V8" i="64"/>
  <c r="V5" i="64"/>
  <c r="V7" i="64"/>
  <c r="V14" i="64" l="1"/>
  <c r="Q10" i="64" l="1"/>
  <c r="Q11" i="64"/>
  <c r="Q12" i="64"/>
  <c r="Q13" i="64"/>
  <c r="Q9" i="64"/>
  <c r="O13" i="64"/>
  <c r="O12" i="64"/>
  <c r="O11" i="64"/>
  <c r="O10" i="64"/>
  <c r="O9" i="64"/>
  <c r="O7" i="64"/>
  <c r="O6" i="64"/>
  <c r="O5" i="64"/>
  <c r="O4" i="64"/>
  <c r="Q6" i="64"/>
  <c r="U5" i="64" l="1"/>
  <c r="U7" i="64"/>
  <c r="U10" i="64"/>
  <c r="U12" i="64"/>
  <c r="U4" i="64"/>
  <c r="U6" i="64"/>
  <c r="U9" i="64"/>
  <c r="U11" i="64"/>
  <c r="U13" i="64"/>
  <c r="Q4" i="64"/>
  <c r="Q7" i="64"/>
  <c r="Q5" i="64"/>
  <c r="Q8" i="64"/>
  <c r="L10" i="64"/>
  <c r="L11" i="64"/>
  <c r="L12" i="64"/>
  <c r="L13" i="64"/>
  <c r="L9" i="64"/>
  <c r="I4" i="64"/>
  <c r="AM4" i="64" s="1"/>
  <c r="H4" i="64"/>
  <c r="J13" i="64"/>
  <c r="P13" i="64" s="1"/>
  <c r="J12" i="64"/>
  <c r="P12" i="64" s="1"/>
  <c r="J11" i="64"/>
  <c r="P11" i="64" s="1"/>
  <c r="J10" i="64"/>
  <c r="P10" i="64" s="1"/>
  <c r="J9" i="64"/>
  <c r="P9" i="64" s="1"/>
  <c r="J8" i="64"/>
  <c r="J7" i="64"/>
  <c r="P7" i="64" s="1"/>
  <c r="J6" i="64"/>
  <c r="J5" i="64"/>
  <c r="P5" i="64" s="1"/>
  <c r="E13" i="64"/>
  <c r="E12" i="64"/>
  <c r="E11" i="64"/>
  <c r="E10" i="64"/>
  <c r="E9" i="64"/>
  <c r="D8" i="64"/>
  <c r="C8" i="64"/>
  <c r="G11" i="64" s="1"/>
  <c r="E7" i="64"/>
  <c r="E6" i="64"/>
  <c r="E5" i="64"/>
  <c r="D4" i="64"/>
  <c r="C4" i="64"/>
  <c r="AL4" i="64" l="1"/>
  <c r="C10" i="54"/>
  <c r="K9" i="64"/>
  <c r="K11" i="64"/>
  <c r="K13" i="64"/>
  <c r="I14" i="64"/>
  <c r="K6" i="64"/>
  <c r="BE4" i="64"/>
  <c r="CJ4" i="64" s="1"/>
  <c r="AL14" i="64"/>
  <c r="AO7" i="64" s="1"/>
  <c r="K7" i="64"/>
  <c r="BF4" i="64"/>
  <c r="CK4" i="64" s="1"/>
  <c r="AM14" i="64"/>
  <c r="K5" i="64"/>
  <c r="AO5" i="64"/>
  <c r="G9" i="64"/>
  <c r="G12" i="64"/>
  <c r="G10" i="64"/>
  <c r="P6" i="64"/>
  <c r="C14" i="64"/>
  <c r="G4" i="64" s="1"/>
  <c r="H14" i="64"/>
  <c r="AN4" i="64"/>
  <c r="K12" i="64"/>
  <c r="K10" i="64"/>
  <c r="G13" i="64"/>
  <c r="Q14" i="64"/>
  <c r="J4" i="64"/>
  <c r="E8" i="64"/>
  <c r="K8" i="64" s="1"/>
  <c r="D14" i="64"/>
  <c r="E4" i="64"/>
  <c r="BN4" i="64" l="1"/>
  <c r="BM4" i="64"/>
  <c r="AO8" i="64"/>
  <c r="AO4" i="64"/>
  <c r="AN14" i="64"/>
  <c r="AO6" i="64"/>
  <c r="BF14" i="64"/>
  <c r="BG4" i="64"/>
  <c r="BE14" i="64"/>
  <c r="CJ14" i="64" s="1"/>
  <c r="G5" i="64"/>
  <c r="G7" i="64"/>
  <c r="G6" i="64"/>
  <c r="E14" i="64"/>
  <c r="P4" i="64"/>
  <c r="K4" i="64"/>
  <c r="L6" i="64"/>
  <c r="L8" i="64"/>
  <c r="L5" i="64"/>
  <c r="L7" i="64"/>
  <c r="L4" i="64"/>
  <c r="G8" i="64"/>
  <c r="J14" i="64"/>
  <c r="AO14" i="64" l="1"/>
  <c r="BN14" i="64"/>
  <c r="CK14" i="64"/>
  <c r="BO4" i="64"/>
  <c r="BX4" i="64"/>
  <c r="BH4" i="64"/>
  <c r="BM14" i="64"/>
  <c r="G14" i="64"/>
  <c r="BH8" i="64"/>
  <c r="BH6" i="64"/>
  <c r="BH5" i="64"/>
  <c r="BH7" i="64"/>
  <c r="BG14" i="64"/>
  <c r="K14" i="64"/>
  <c r="L14" i="64"/>
  <c r="BH14" i="64" l="1"/>
  <c r="BO14" i="64"/>
  <c r="BX14" i="64"/>
  <c r="B10" i="54" l="1"/>
  <c r="I5" i="51" l="1"/>
  <c r="I6" i="51"/>
  <c r="I7" i="51"/>
  <c r="I8" i="51"/>
  <c r="H8" i="51"/>
  <c r="G8" i="51"/>
  <c r="H7" i="51"/>
  <c r="G7" i="51"/>
  <c r="F7" i="51"/>
  <c r="E7" i="51"/>
  <c r="D7" i="51"/>
  <c r="C7" i="51"/>
  <c r="B7" i="51"/>
  <c r="H6" i="51"/>
  <c r="G6" i="51"/>
  <c r="F6" i="51"/>
  <c r="E6" i="51"/>
  <c r="D6" i="51"/>
  <c r="C6" i="51"/>
  <c r="B6" i="51"/>
  <c r="H5" i="51"/>
  <c r="G5" i="51"/>
  <c r="F5" i="51"/>
  <c r="E5" i="51"/>
  <c r="D5" i="51"/>
  <c r="C5" i="51"/>
  <c r="B5" i="51"/>
  <c r="H4" i="51"/>
  <c r="G4" i="51"/>
  <c r="F4" i="51"/>
  <c r="E4" i="51"/>
  <c r="D4" i="51"/>
  <c r="C4" i="51"/>
  <c r="B4" i="51"/>
  <c r="G9" i="51" l="1"/>
  <c r="H9" i="51"/>
  <c r="J5" i="51"/>
  <c r="L5" i="51"/>
  <c r="K6" i="51"/>
  <c r="O6" i="51"/>
  <c r="Q6" i="51"/>
  <c r="T7" i="51"/>
  <c r="T5" i="51"/>
  <c r="J7" i="51"/>
  <c r="L7" i="51"/>
  <c r="O7" i="51"/>
  <c r="Q8" i="51"/>
  <c r="T6" i="51"/>
  <c r="K5" i="51"/>
  <c r="O5" i="51"/>
  <c r="Q5" i="51"/>
  <c r="J6" i="51"/>
  <c r="L6" i="51"/>
  <c r="P6" i="51"/>
  <c r="K7" i="51"/>
  <c r="M7" i="51"/>
  <c r="Q7" i="51"/>
  <c r="S8" i="51"/>
  <c r="S6" i="51"/>
  <c r="P5" i="51"/>
  <c r="S7" i="51"/>
  <c r="S5" i="51"/>
  <c r="K4" i="51"/>
  <c r="J4" i="51"/>
  <c r="L4" i="51"/>
  <c r="N4" i="51"/>
  <c r="P4" i="51"/>
  <c r="R4" i="51"/>
  <c r="N5" i="51"/>
  <c r="R5" i="51"/>
  <c r="N6" i="51"/>
  <c r="R6" i="51"/>
  <c r="N7" i="51"/>
  <c r="P7" i="51"/>
  <c r="R7" i="51"/>
  <c r="M4" i="51"/>
  <c r="O4" i="51"/>
  <c r="Q4" i="51"/>
  <c r="M5" i="51"/>
  <c r="M6" i="51"/>
  <c r="H5" i="46"/>
  <c r="H6" i="46"/>
  <c r="H7" i="46"/>
  <c r="H8" i="46"/>
  <c r="H4" i="46"/>
  <c r="G5" i="46"/>
  <c r="G6" i="46"/>
  <c r="G7" i="46"/>
  <c r="G8" i="46"/>
  <c r="G4" i="46"/>
  <c r="F7" i="46"/>
  <c r="E7" i="46"/>
  <c r="D7" i="46"/>
  <c r="C7" i="46"/>
  <c r="B7" i="46"/>
  <c r="F6" i="46"/>
  <c r="E6" i="46"/>
  <c r="D6" i="46"/>
  <c r="C6" i="46"/>
  <c r="B6" i="46"/>
  <c r="F5" i="46"/>
  <c r="E5" i="46"/>
  <c r="D5" i="46"/>
  <c r="C5" i="46"/>
  <c r="B5" i="46"/>
  <c r="F4" i="46"/>
  <c r="E4" i="46"/>
  <c r="D4" i="46"/>
  <c r="C4" i="46"/>
  <c r="B4" i="46"/>
  <c r="F16" i="43"/>
  <c r="F15" i="43"/>
  <c r="F14" i="43"/>
  <c r="F13" i="43"/>
  <c r="F12" i="43"/>
  <c r="E16" i="43"/>
  <c r="E15" i="43"/>
  <c r="E14" i="43"/>
  <c r="E13" i="43"/>
  <c r="E12" i="43"/>
  <c r="D16" i="43"/>
  <c r="D15" i="43"/>
  <c r="D14" i="43"/>
  <c r="D13" i="43"/>
  <c r="C16" i="43"/>
  <c r="C15" i="43"/>
  <c r="C14" i="43"/>
  <c r="C13" i="43"/>
  <c r="B16" i="43"/>
  <c r="B15" i="43"/>
  <c r="B14" i="43"/>
  <c r="B13" i="43"/>
  <c r="B12" i="43"/>
  <c r="F7" i="43"/>
  <c r="E7" i="43"/>
  <c r="D7" i="43"/>
  <c r="C7" i="43"/>
  <c r="B7" i="43"/>
  <c r="F6" i="43"/>
  <c r="E6" i="43"/>
  <c r="D6" i="43"/>
  <c r="C6" i="43"/>
  <c r="B6" i="43"/>
  <c r="F5" i="43"/>
  <c r="E5" i="43"/>
  <c r="D5" i="43"/>
  <c r="C5" i="43"/>
  <c r="B5" i="43"/>
  <c r="F4" i="43"/>
  <c r="E4" i="43"/>
  <c r="D4" i="43"/>
  <c r="C4" i="43"/>
  <c r="B4" i="43"/>
  <c r="G13" i="43" l="1"/>
  <c r="G15" i="43"/>
  <c r="Q9" i="51"/>
  <c r="I6" i="42"/>
  <c r="G14" i="43"/>
  <c r="G16" i="43"/>
  <c r="C8" i="51"/>
  <c r="D8" i="51"/>
  <c r="F8" i="51"/>
  <c r="G5" i="42"/>
  <c r="E8" i="51"/>
  <c r="H5" i="42"/>
  <c r="I4" i="51"/>
  <c r="L4" i="43"/>
  <c r="G5" i="43"/>
  <c r="H5" i="43" s="1"/>
  <c r="G7" i="43"/>
  <c r="H7" i="43" s="1"/>
  <c r="R4" i="46"/>
  <c r="R7" i="46"/>
  <c r="R5" i="46"/>
  <c r="H9" i="46"/>
  <c r="Q4" i="46"/>
  <c r="Q8" i="46"/>
  <c r="Q6" i="46"/>
  <c r="R6" i="46"/>
  <c r="Q7" i="46"/>
  <c r="Q5" i="46"/>
  <c r="C8" i="46"/>
  <c r="C9" i="46" s="1"/>
  <c r="E8" i="46"/>
  <c r="E9" i="46" s="1"/>
  <c r="P4" i="46"/>
  <c r="P5" i="46"/>
  <c r="D8" i="46"/>
  <c r="F8" i="46"/>
  <c r="O8" i="46" s="1"/>
  <c r="P6" i="46"/>
  <c r="J5" i="46"/>
  <c r="K6" i="46"/>
  <c r="J7" i="46"/>
  <c r="L7" i="46"/>
  <c r="O4" i="46"/>
  <c r="O6" i="46"/>
  <c r="P7" i="46"/>
  <c r="O5" i="46"/>
  <c r="G9" i="46"/>
  <c r="O7" i="46"/>
  <c r="N4" i="46"/>
  <c r="L5" i="46"/>
  <c r="N6" i="46"/>
  <c r="K5" i="46"/>
  <c r="N5" i="46"/>
  <c r="J6" i="46"/>
  <c r="L6" i="46"/>
  <c r="K7" i="46"/>
  <c r="N7" i="46"/>
  <c r="K4" i="46"/>
  <c r="M4" i="46"/>
  <c r="M5" i="46"/>
  <c r="M6" i="46"/>
  <c r="M7" i="46"/>
  <c r="J4" i="46"/>
  <c r="L4" i="46"/>
  <c r="C8" i="43"/>
  <c r="C9" i="43" s="1"/>
  <c r="E8" i="43"/>
  <c r="E9" i="43" s="1"/>
  <c r="D8" i="43"/>
  <c r="F8" i="43"/>
  <c r="G6" i="43"/>
  <c r="J7" i="43"/>
  <c r="L7" i="43"/>
  <c r="J6" i="43"/>
  <c r="L6" i="43"/>
  <c r="G4" i="43"/>
  <c r="J5" i="43"/>
  <c r="L5" i="43"/>
  <c r="I6" i="43"/>
  <c r="K6" i="43"/>
  <c r="J4" i="43"/>
  <c r="I5" i="43"/>
  <c r="K5" i="43"/>
  <c r="I7" i="43"/>
  <c r="K7" i="43"/>
  <c r="F17" i="43"/>
  <c r="E17" i="43"/>
  <c r="B17" i="43"/>
  <c r="I4" i="43"/>
  <c r="K4" i="43"/>
  <c r="H6" i="43" l="1"/>
  <c r="K8" i="46"/>
  <c r="D9" i="46"/>
  <c r="L9" i="46" s="1"/>
  <c r="C5" i="42"/>
  <c r="F9" i="46"/>
  <c r="O9" i="46" s="1"/>
  <c r="L8" i="43"/>
  <c r="F9" i="43"/>
  <c r="L9" i="43" s="1"/>
  <c r="J8" i="43"/>
  <c r="F4" i="42"/>
  <c r="M8" i="46"/>
  <c r="L8" i="46"/>
  <c r="Q9" i="46"/>
  <c r="G7" i="42"/>
  <c r="G8" i="42"/>
  <c r="H7" i="42"/>
  <c r="I7" i="42"/>
  <c r="I9" i="51"/>
  <c r="S9" i="51" s="1"/>
  <c r="S4" i="51"/>
  <c r="T4" i="51"/>
  <c r="L8" i="51"/>
  <c r="E9" i="51"/>
  <c r="E5" i="42"/>
  <c r="K8" i="51"/>
  <c r="D9" i="51"/>
  <c r="D5" i="42"/>
  <c r="B8" i="51"/>
  <c r="J8" i="51" s="1"/>
  <c r="G6" i="42"/>
  <c r="I8" i="42"/>
  <c r="I5" i="42"/>
  <c r="H6" i="42"/>
  <c r="I4" i="42"/>
  <c r="H8" i="42"/>
  <c r="F9" i="51"/>
  <c r="M8" i="51"/>
  <c r="O8" i="51"/>
  <c r="N8" i="51"/>
  <c r="F5" i="42"/>
  <c r="C9" i="51"/>
  <c r="K8" i="43"/>
  <c r="D9" i="43"/>
  <c r="G8" i="43"/>
  <c r="H8" i="43" s="1"/>
  <c r="H4" i="42"/>
  <c r="B8" i="46"/>
  <c r="R8" i="46" s="1"/>
  <c r="C7" i="42"/>
  <c r="F7" i="42"/>
  <c r="F6" i="42"/>
  <c r="E8" i="42"/>
  <c r="G4" i="42"/>
  <c r="B8" i="43"/>
  <c r="M9" i="46" l="1"/>
  <c r="K9" i="46"/>
  <c r="D4" i="42"/>
  <c r="E7" i="42"/>
  <c r="F8" i="42"/>
  <c r="C6" i="42"/>
  <c r="G9" i="43"/>
  <c r="D8" i="42"/>
  <c r="D6" i="42"/>
  <c r="E4" i="42"/>
  <c r="E6" i="42"/>
  <c r="C8" i="42"/>
  <c r="C4" i="42"/>
  <c r="K9" i="43"/>
  <c r="J9" i="43"/>
  <c r="D7" i="42"/>
  <c r="B9" i="51"/>
  <c r="P8" i="51"/>
  <c r="T8" i="51"/>
  <c r="R8" i="51"/>
  <c r="K9" i="51"/>
  <c r="L9" i="51"/>
  <c r="M9" i="51"/>
  <c r="O9" i="51"/>
  <c r="B9" i="46"/>
  <c r="R9" i="46" s="1"/>
  <c r="N8" i="46"/>
  <c r="P8" i="46"/>
  <c r="J8" i="46"/>
  <c r="B9" i="43"/>
  <c r="I9" i="43" s="1"/>
  <c r="I8" i="43"/>
  <c r="T9" i="51" l="1"/>
  <c r="R9" i="51"/>
  <c r="P9" i="51"/>
  <c r="J9" i="51"/>
  <c r="N9" i="51"/>
  <c r="B8" i="42"/>
  <c r="B7" i="42"/>
  <c r="B6" i="42"/>
  <c r="B5" i="42"/>
  <c r="J9" i="46"/>
  <c r="P9" i="46"/>
  <c r="N9" i="46"/>
  <c r="B4" i="42"/>
  <c r="C12" i="43" l="1"/>
  <c r="D12" i="43"/>
  <c r="D17" i="43" s="1"/>
  <c r="G12" i="43" l="1"/>
  <c r="H4" i="43" s="1"/>
  <c r="C17" i="43"/>
  <c r="G17" i="43" s="1"/>
  <c r="H9" i="43" s="1"/>
  <c r="O8" i="64" l="1"/>
  <c r="O14" i="64"/>
  <c r="AF9" i="64"/>
  <c r="P8" i="64" l="1"/>
  <c r="U8" i="64"/>
  <c r="P14" i="64"/>
  <c r="U14" i="64"/>
  <c r="AD9" i="64"/>
  <c r="AE9" i="64" l="1"/>
  <c r="AJ9" i="64"/>
  <c r="AW7" i="86"/>
  <c r="AX7" i="86" s="1"/>
  <c r="V7" i="86"/>
  <c r="W7" i="86"/>
  <c r="Z7" i="86"/>
  <c r="AA7" i="86" s="1"/>
  <c r="AF7" i="86" s="1"/>
  <c r="CU7" i="86"/>
  <c r="CU5" i="86" s="1"/>
  <c r="U17" i="86"/>
  <c r="U5" i="86"/>
  <c r="V5" i="86" s="1"/>
  <c r="W5" i="86" s="1"/>
  <c r="V17" i="86" l="1"/>
  <c r="W17" i="86" s="1"/>
  <c r="U18" i="86"/>
  <c r="Z5" i="86"/>
  <c r="AA5" i="86" s="1"/>
  <c r="AF5" i="86" s="1"/>
  <c r="CV5" i="86"/>
  <c r="CU17" i="86"/>
  <c r="CV7" i="86"/>
  <c r="CV17" i="86" l="1"/>
  <c r="CU18" i="86"/>
  <c r="Z17" i="86"/>
  <c r="Z18" i="86" s="1"/>
  <c r="AW5" i="86"/>
  <c r="AX5" i="86" s="1"/>
  <c r="AA17" i="86"/>
  <c r="AF17" i="86" s="1"/>
  <c r="AW17" i="86" l="1"/>
  <c r="AX17" i="86" l="1"/>
  <c r="AW18" i="86"/>
</calcChain>
</file>

<file path=xl/sharedStrings.xml><?xml version="1.0" encoding="utf-8"?>
<sst xmlns="http://schemas.openxmlformats.org/spreadsheetml/2006/main" count="466" uniqueCount="138">
  <si>
    <t>Группы потребителей</t>
  </si>
  <si>
    <t>Население, проживающее в городских населенных пунктах в домах, оборудованных в установленном порядке стационарными электроплитами</t>
  </si>
  <si>
    <t>Население, проживающее в сельских населенных пунктах</t>
  </si>
  <si>
    <t>Исполнители коммунальных услуг</t>
  </si>
  <si>
    <t>Садоводческие, огороднические или дачные некоммерческие объединения граждан</t>
  </si>
  <si>
    <t>Религиозные организации</t>
  </si>
  <si>
    <t>Некоммерческие объединения граждан  (гаражно-строительные, гаражные кооперативы)</t>
  </si>
  <si>
    <t>Итого</t>
  </si>
  <si>
    <t>Группы 
потребителей</t>
  </si>
  <si>
    <t>Население, осуществляющее оплату по зонным тарифам (ночь)-(полупик (день) *</t>
  </si>
  <si>
    <t>Приложение № 3</t>
  </si>
  <si>
    <t>Приложение № 4</t>
  </si>
  <si>
    <t>Бюджетные организации (в т.ч. проживание военнослужащих, содержание осужденных и т.п.)</t>
  </si>
  <si>
    <t xml:space="preserve">Население, осуществляющее оплату по зонным тарифам (ночь)-(полупик (день) </t>
  </si>
  <si>
    <t>Главный специалист отдела контроля и регулирования тарифов (цен) в сфере электроэнергетики и газоснабжения службы по тарифам Астраханской области</t>
  </si>
  <si>
    <t>С.А. Мулакаева</t>
  </si>
  <si>
    <t>* регулируемая цена по данной группе является средневзвешанной расчетной величиной, зависит от изменения объемов потребления электроэнергии в зависимости от зоны суток.</t>
  </si>
  <si>
    <t>Регулируемая цена электрической энергии, руб.кВтч. (с НДС)</t>
  </si>
  <si>
    <r>
      <rPr>
        <b/>
        <sz val="12"/>
        <rFont val="Times New Roman"/>
        <family val="1"/>
        <charset val="204"/>
      </rPr>
      <t>Стоимость</t>
    </r>
    <r>
      <rPr>
        <sz val="12"/>
        <rFont val="Times New Roman"/>
        <family val="1"/>
        <charset val="204"/>
      </rPr>
      <t xml:space="preserve"> электрической энергии, тыс.руб. (без НДС)</t>
    </r>
  </si>
  <si>
    <r>
      <rPr>
        <b/>
        <sz val="12"/>
        <rFont val="Times New Roman"/>
        <family val="1"/>
        <charset val="204"/>
      </rPr>
      <t>Объем</t>
    </r>
    <r>
      <rPr>
        <sz val="12"/>
        <rFont val="Times New Roman"/>
        <family val="1"/>
        <charset val="204"/>
      </rPr>
      <t xml:space="preserve"> электрической энергии, тыс.кВтч.</t>
    </r>
  </si>
  <si>
    <t xml:space="preserve">Потребители, приравненные к населению </t>
  </si>
  <si>
    <t>Население, проживающее в городских населенных пунктах в домах с газовыми плитами</t>
  </si>
  <si>
    <t xml:space="preserve">Потребители, приравненные к населению, всего, в т.ч. : </t>
  </si>
  <si>
    <t>сумма строк 100 столбцы 9+11</t>
  </si>
  <si>
    <t>Строка 200, из 46-ээ берем из столбца 6 и 8</t>
  </si>
  <si>
    <t>Строка 230, из 46-ээ берем из столбца 6 и 8</t>
  </si>
  <si>
    <t>с 01.01.2015 должно равняться строке справочно: всего по населению и приравненным к нему категориям</t>
  </si>
  <si>
    <t>Удельный вес объма электрической энергии, в общем итоге, в %</t>
  </si>
  <si>
    <t>Темп роста январь 2015 к декабрю 2014 года</t>
  </si>
  <si>
    <t>Темп роста февраль 2015 к январю 2015 года</t>
  </si>
  <si>
    <t>Темп роста март 2015 к февралю 2015 года</t>
  </si>
  <si>
    <t>Темп роста апрель 2015 к марту 2015 года</t>
  </si>
  <si>
    <t>4 мес. 2015</t>
  </si>
  <si>
    <t>Темп роста 4 мес. 2015 к 4 мес. 2014</t>
  </si>
  <si>
    <t>4 мес. 2014</t>
  </si>
  <si>
    <t>Темп роста апрель 2015 к декабрю 2014 года</t>
  </si>
  <si>
    <t>Объем электрической энергии по месяцам за период декабрь 2014 года, январь-апрель 2015 года по группам населения (тыс. кВтч.)</t>
  </si>
  <si>
    <t>Темп роста май 2015 к апрелю 2015 года</t>
  </si>
  <si>
    <t>Темп роста май 2015 к декабрю 2014 года</t>
  </si>
  <si>
    <t>Темп роста июнь 2015 к маю 2015 года</t>
  </si>
  <si>
    <t>Темп роста июнь 2015 к декабрю 2014 года</t>
  </si>
  <si>
    <t>Объем электрической энергии по месяцам декабрь 2014 года, январь-июнь2015 года по группам населения (тыс. кВтч.)</t>
  </si>
  <si>
    <t>Динамика структуры потребления электрической энергии населением на территории Астраханской области за декабрь 2014 года, январь-июль 2015 года, (%)</t>
  </si>
  <si>
    <t>Темп роста июль 2015 к июню 2015 года</t>
  </si>
  <si>
    <t>Темп роста июль 2015 к декабрю 2014 года</t>
  </si>
  <si>
    <t>Удельный вес в общем объеме, %</t>
  </si>
  <si>
    <t>Темп роста  тарифа электроэнергии к пред. месяцу 2015, %</t>
  </si>
  <si>
    <t>9 месяцев 2015 года</t>
  </si>
  <si>
    <t>декабрь 2015 года</t>
  </si>
  <si>
    <t>январь 2016 года</t>
  </si>
  <si>
    <t>февраль 2016 года</t>
  </si>
  <si>
    <t>Темп роста  тарифа электроэнергии к пред. месяцу 2016, %</t>
  </si>
  <si>
    <t>март 2016 года</t>
  </si>
  <si>
    <t>апрель 2016 года</t>
  </si>
  <si>
    <t>май 2016 года</t>
  </si>
  <si>
    <t>июнь 2016 года</t>
  </si>
  <si>
    <t>6 месяцев 2016 года</t>
  </si>
  <si>
    <t>июль 2016 года</t>
  </si>
  <si>
    <t>август 2016 года</t>
  </si>
  <si>
    <t>сентябрь 2016 года</t>
  </si>
  <si>
    <t>9 месяцев 2016 года</t>
  </si>
  <si>
    <t>Объем электрической энергии, тыс.кВтч.</t>
  </si>
  <si>
    <t>Стоимость электрической энергии, тыс.руб. (без НДС)</t>
  </si>
  <si>
    <t>Темпы роста (снижения) 9 месяцев 2016 года к 9 месяцам 2015 года</t>
  </si>
  <si>
    <t>по объему электрической энергии, тыс.кВтч.</t>
  </si>
  <si>
    <t>по стоимости электрической энергии, тыс.руб. (без НДС)</t>
  </si>
  <si>
    <t>по регулируемой цене электрической энергии, руб.кВтч. (с НДС)</t>
  </si>
  <si>
    <t>октябрь 2016 года</t>
  </si>
  <si>
    <t>ноябрь 2016 года</t>
  </si>
  <si>
    <t>декабрь 2016 года</t>
  </si>
  <si>
    <t>октябрь-декабрь 2016 года</t>
  </si>
  <si>
    <t>Мониторинг уровня регулируемых цен на электроэнергию на территории Астраханской области за период декабрь 2015 г., октябрь-декабрь 2016 года</t>
  </si>
  <si>
    <t>II-ой квартал 2017 года</t>
  </si>
  <si>
    <t>декабрь 2017 года</t>
  </si>
  <si>
    <t>№ п/п</t>
  </si>
  <si>
    <t>1.</t>
  </si>
  <si>
    <t>Население всего, в т.ч.:</t>
  </si>
  <si>
    <t>1.1.</t>
  </si>
  <si>
    <t>1.2.</t>
  </si>
  <si>
    <t>1.3.</t>
  </si>
  <si>
    <t>1.4.</t>
  </si>
  <si>
    <t>2.</t>
  </si>
  <si>
    <t>3.</t>
  </si>
  <si>
    <t>2.3.</t>
  </si>
  <si>
    <t>2.4.</t>
  </si>
  <si>
    <t>2.5.</t>
  </si>
  <si>
    <t>2.1.</t>
  </si>
  <si>
    <t>2.2.</t>
  </si>
  <si>
    <t>Итого ( сумма стр. 1,2)</t>
  </si>
  <si>
    <t>Контроль: население по стр. 100 формы № 46-ЭЭ</t>
  </si>
  <si>
    <t>Контроль: население по стр. 400 формы № 46-ЭЭ</t>
  </si>
  <si>
    <r>
      <rPr>
        <b/>
        <sz val="16"/>
        <color theme="3"/>
        <rFont val="Times New Roman"/>
        <family val="1"/>
        <charset val="204"/>
      </rPr>
      <t>Объем</t>
    </r>
    <r>
      <rPr>
        <sz val="16"/>
        <color theme="3"/>
        <rFont val="Times New Roman"/>
        <family val="1"/>
        <charset val="204"/>
      </rPr>
      <t xml:space="preserve"> электрической энергии, тыс.кВтч.</t>
    </r>
  </si>
  <si>
    <r>
      <rPr>
        <b/>
        <sz val="16"/>
        <rFont val="Times New Roman"/>
        <family val="1"/>
        <charset val="204"/>
      </rPr>
      <t>Объем</t>
    </r>
    <r>
      <rPr>
        <sz val="16"/>
        <rFont val="Times New Roman"/>
        <family val="1"/>
        <charset val="204"/>
      </rPr>
      <t xml:space="preserve"> электрической энергии, тыс.кВтч.</t>
    </r>
  </si>
  <si>
    <r>
      <rPr>
        <b/>
        <sz val="16"/>
        <rFont val="Times New Roman"/>
        <family val="1"/>
        <charset val="204"/>
      </rPr>
      <t>Стоимость</t>
    </r>
    <r>
      <rPr>
        <sz val="16"/>
        <rFont val="Times New Roman"/>
        <family val="1"/>
        <charset val="204"/>
      </rPr>
      <t xml:space="preserve"> электрической энергии, тыс.руб. (с НДС)</t>
    </r>
  </si>
  <si>
    <t>Динамика структуры потребления электрической энергии населением на территории Астраханской области за декабрь 2016 года и  2017 год</t>
  </si>
  <si>
    <t>Объем потребления электрической энергии населением Астраханской области по месяцам (декабрь 2016 года,  2017 год) по группам населения (тыс. кВтч.)</t>
  </si>
  <si>
    <t>Стоимость электрической энергии, тыс.руб. (с НДС)</t>
  </si>
  <si>
    <t>1-ое полугодие 2017 года</t>
  </si>
  <si>
    <t xml:space="preserve">Потребители, приравненные к населению, в т.ч.: </t>
  </si>
  <si>
    <t>Потребители, приравненные к населению , в т.ч.:</t>
  </si>
  <si>
    <t>Приложение № 1</t>
  </si>
  <si>
    <t>Приложение №5</t>
  </si>
  <si>
    <t>Приложение № 6</t>
  </si>
  <si>
    <t>Приложение № 7</t>
  </si>
  <si>
    <t>Темп роста  тарифа электроэнергии к пред. месяцу 2017, %</t>
  </si>
  <si>
    <t xml:space="preserve"> 2017 год</t>
  </si>
  <si>
    <t>Приложение № 2</t>
  </si>
  <si>
    <t>с 01.01.2017 должно равняться строке справочно: всего по населению и приравненным к нему категориям</t>
  </si>
  <si>
    <t>Гарантирующие поставщики,приобретающие электрическую энергию(мощность) в целях дальнейшей продажи</t>
  </si>
  <si>
    <t>Объем потребления электрической энергии населением Астраханской области по месяцам по группам населения (тыс. кВтч.)</t>
  </si>
  <si>
    <t>январь 2019 года</t>
  </si>
  <si>
    <t>февраль 2019 года</t>
  </si>
  <si>
    <t>март 2019 года</t>
  </si>
  <si>
    <t>I-ый квартал 2019 года</t>
  </si>
  <si>
    <t>апрель 2019 года</t>
  </si>
  <si>
    <t>май 2019 года</t>
  </si>
  <si>
    <t>июнь 2019 года</t>
  </si>
  <si>
    <t>II-ой квартал 2019 года</t>
  </si>
  <si>
    <t>I-полугодие 2019 года</t>
  </si>
  <si>
    <t>июль 2019 года</t>
  </si>
  <si>
    <t>август 2019 года</t>
  </si>
  <si>
    <t>сентябрь 2019 года</t>
  </si>
  <si>
    <t>III-ий квартал 2019 года</t>
  </si>
  <si>
    <t>октябрь 2019 года</t>
  </si>
  <si>
    <t>ноябрь 2019 года</t>
  </si>
  <si>
    <t>декабрь 2019 года</t>
  </si>
  <si>
    <t>4 квартал 2019 года</t>
  </si>
  <si>
    <t>2-ое полугодие 2019 года</t>
  </si>
  <si>
    <t>Итоги 2019 года</t>
  </si>
  <si>
    <t>Темп роста  тарифа электроэнергии к пред. месяцу 2019, %</t>
  </si>
  <si>
    <t>Динамика структуры потребления электрической энергии населением на территории Астраханской области за -ое полугодие 2019 года</t>
  </si>
  <si>
    <t>Темп роста  тарифа электроэнергии к пред. месяцу 2018, %</t>
  </si>
  <si>
    <t>Гарантирующие поставщики,энергосбытовые, энергоснабжающии организации,преобретающие электрическую энергию (мощность) в целях дальнейшей продажи</t>
  </si>
  <si>
    <t>2019 год</t>
  </si>
  <si>
    <t xml:space="preserve">В т.ч. ПАО "АЭСК" </t>
  </si>
  <si>
    <t>Гарантирующие поставщики,энергосбытовые,энергоснабжающие организации,приобретающие электрическую энергию(мощность) в целях дальнейшей продажи*</t>
  </si>
  <si>
    <t>*Относится только к показателям форм 46-ээ по ООО "Русэнергосбыт"</t>
  </si>
  <si>
    <t>Мониторинг уровня регулируемых цен на электроэнергию на территории Астраханской области за 2019 год ( по данным форм статистической отчетности № 46-ээ гарантирующих поставщиков ПАО "АЭСК" и ООО "РУСЭНЕРГОСБЫТ" в границах их зон деятельности  на территории Астраханской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</si>
</sst>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43" formatCode="_-* #,##0.00\ _₽_-;\-* #,##0.00\ _₽_-;_-* &quot;-&quot;??\ _₽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.00[$€-1]_-;\-* #,##0.00[$€-1]_-;_-* &quot;-&quot;??[$€-1]_-"/>
    <numFmt numFmtId="169" formatCode="0.0%"/>
    <numFmt numFmtId="170" formatCode="0.0%_);\(0.0%\)"/>
    <numFmt numFmtId="171" formatCode="#,##0_);[Red]\(#,##0\)"/>
    <numFmt numFmtId="172" formatCode="#,##0;\(#,##0\)"/>
    <numFmt numFmtId="173" formatCode="_-* #,##0.00\ _$_-;\-* #,##0.00\ _$_-;_-* &quot;-&quot;??\ _$_-;_-@_-"/>
    <numFmt numFmtId="174" formatCode="#.##0\.00"/>
    <numFmt numFmtId="175" formatCode="#\.00"/>
    <numFmt numFmtId="176" formatCode="\$#\.00"/>
    <numFmt numFmtId="177" formatCode="#\."/>
    <numFmt numFmtId="178" formatCode="General_)"/>
    <numFmt numFmtId="179" formatCode="_-* #,##0&quot;đ.&quot;_-;\-* #,##0&quot;đ.&quot;_-;_-* &quot;-&quot;&quot;đ.&quot;_-;_-@_-"/>
    <numFmt numFmtId="180" formatCode="_-* #,##0.00&quot;đ.&quot;_-;\-* #,##0.00&quot;đ.&quot;_-;_-* &quot;-&quot;??&quot;đ.&quot;_-;_-@_-"/>
    <numFmt numFmtId="181" formatCode="&quot;$&quot;#,##0_);[Red]\(&quot;$&quot;#,##0\)"/>
    <numFmt numFmtId="182" formatCode="\$#,##0\ ;\(\$#,##0\)"/>
    <numFmt numFmtId="183" formatCode="#,##0.000[$р.-419];\-#,##0.000[$р.-419]"/>
    <numFmt numFmtId="184" formatCode="_-* #,##0.0\ _$_-;\-* #,##0.0\ _$_-;_-* &quot;-&quot;??\ _$_-;_-@_-"/>
    <numFmt numFmtId="185" formatCode="0.0"/>
    <numFmt numFmtId="186" formatCode="#,##0.0_);\(#,##0.0\)"/>
    <numFmt numFmtId="187" formatCode="#,##0_ ;[Red]\-#,##0\ "/>
    <numFmt numFmtId="188" formatCode="#,##0_);[Blue]\(#,##0\)"/>
    <numFmt numFmtId="189" formatCode="_-* #,##0_-;\-* #,##0_-;_-* &quot;-&quot;_-;_-@_-"/>
    <numFmt numFmtId="190" formatCode="_-* #,##0.00_-;\-* #,##0.00_-;_-* &quot;-&quot;??_-;_-@_-"/>
    <numFmt numFmtId="191" formatCode="#,##0__\ \ \ \ 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#,##0.00&quot;т.р.&quot;;\-#,##0.00&quot;т.р.&quot;"/>
    <numFmt numFmtId="195" formatCode="#,##0.0;[Red]#,##0.0"/>
    <numFmt numFmtId="196" formatCode="_-* #,##0_đ_._-;\-* #,##0_đ_._-;_-* &quot;-&quot;_đ_._-;_-@_-"/>
    <numFmt numFmtId="197" formatCode="_-* #,##0.00_đ_._-;\-* #,##0.00_đ_._-;_-* &quot;-&quot;??_đ_._-;_-@_-"/>
    <numFmt numFmtId="198" formatCode="\(#,##0.0\)"/>
    <numFmt numFmtId="199" formatCode="#,##0\ &quot;?.&quot;;\-#,##0\ &quot;?.&quot;"/>
    <numFmt numFmtId="200" formatCode="#,##0______;;&quot;------------      &quot;"/>
    <numFmt numFmtId="201" formatCode="#,##0.000_ ;\-#,##0.000\ "/>
    <numFmt numFmtId="202" formatCode="#,##0.00_ ;[Red]\-#,##0.00\ "/>
    <numFmt numFmtId="203" formatCode="#,##0.000"/>
    <numFmt numFmtId="204" formatCode="0.000"/>
    <numFmt numFmtId="205" formatCode="_-* #,##0\ _р_._-;\-* #,##0\ _р_._-;_-* &quot;-&quot;\ _р_._-;_-@_-"/>
    <numFmt numFmtId="206" formatCode="_-* #,##0.00\ _р_._-;\-* #,##0.00\ _р_._-;_-* &quot;-&quot;??\ _р_._-;_-@_-"/>
    <numFmt numFmtId="207" formatCode="_-* #,##0\ _$_-;\-* #,##0\ _$_-;_-* &quot;-&quot;\ _$_-;_-@_-"/>
    <numFmt numFmtId="208" formatCode="#,##0.00_ ;\-#,##0.00\ "/>
    <numFmt numFmtId="209" formatCode="#,##0.0"/>
    <numFmt numFmtId="210" formatCode="%#\.00"/>
    <numFmt numFmtId="211" formatCode="_-* #,##0.000_р_._-;\-* #,##0.000_р_._-;_-* &quot;-&quot;??_р_._-;_-@_-"/>
  </numFmts>
  <fonts count="16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sz val="11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0"/>
      <name val="Times New Roman CYR"/>
      <charset val="204"/>
    </font>
    <font>
      <sz val="9"/>
      <color indexed="11"/>
      <name val="Tahoma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theme="3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92">
    <xf numFmtId="0" fontId="0" fillId="0" borderId="0"/>
    <xf numFmtId="0" fontId="2" fillId="0" borderId="0"/>
    <xf numFmtId="168" fontId="2" fillId="0" borderId="0"/>
    <xf numFmtId="0" fontId="3" fillId="0" borderId="0"/>
    <xf numFmtId="0" fontId="4" fillId="0" borderId="0"/>
    <xf numFmtId="169" fontId="5" fillId="0" borderId="0">
      <alignment vertical="top"/>
    </xf>
    <xf numFmtId="169" fontId="6" fillId="0" borderId="0">
      <alignment vertical="top"/>
    </xf>
    <xf numFmtId="170" fontId="6" fillId="2" borderId="0">
      <alignment vertical="top"/>
    </xf>
    <xf numFmtId="169" fontId="6" fillId="3" borderId="0">
      <alignment vertical="top"/>
    </xf>
    <xf numFmtId="40" fontId="7" fillId="0" borderId="0" applyFont="0" applyFill="0" applyBorder="0" applyAlignment="0" applyProtection="0"/>
    <xf numFmtId="0" fontId="8" fillId="0" borderId="0"/>
    <xf numFmtId="0" fontId="3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72" fontId="4" fillId="4" borderId="1">
      <alignment wrapText="1"/>
      <protection locked="0"/>
    </xf>
    <xf numFmtId="0" fontId="2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0" fontId="9" fillId="0" borderId="0"/>
    <xf numFmtId="0" fontId="2" fillId="0" borderId="0"/>
    <xf numFmtId="168" fontId="2" fillId="0" borderId="0"/>
    <xf numFmtId="0" fontId="2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0" fontId="2" fillId="0" borderId="0"/>
    <xf numFmtId="168" fontId="2" fillId="0" borderId="0"/>
    <xf numFmtId="0" fontId="2" fillId="0" borderId="0"/>
    <xf numFmtId="168" fontId="2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0" fontId="3" fillId="0" borderId="0"/>
    <xf numFmtId="168" fontId="3" fillId="0" borderId="0"/>
    <xf numFmtId="0" fontId="3" fillId="0" borderId="0"/>
    <xf numFmtId="0" fontId="3" fillId="0" borderId="0"/>
    <xf numFmtId="168" fontId="3" fillId="0" borderId="0"/>
    <xf numFmtId="0" fontId="3" fillId="0" borderId="0"/>
    <xf numFmtId="168" fontId="3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0" fontId="3" fillId="0" borderId="0"/>
    <xf numFmtId="168" fontId="3" fillId="0" borderId="0"/>
    <xf numFmtId="0" fontId="3" fillId="0" borderId="0"/>
    <xf numFmtId="0" fontId="2" fillId="0" borderId="0"/>
    <xf numFmtId="168" fontId="2" fillId="0" borderId="0"/>
    <xf numFmtId="0" fontId="2" fillId="0" borderId="0"/>
    <xf numFmtId="168" fontId="2" fillId="0" borderId="0"/>
    <xf numFmtId="0" fontId="3" fillId="0" borderId="0"/>
    <xf numFmtId="168" fontId="3" fillId="0" borderId="0"/>
    <xf numFmtId="0" fontId="2" fillId="0" borderId="0"/>
    <xf numFmtId="168" fontId="2" fillId="0" borderId="0"/>
    <xf numFmtId="0" fontId="2" fillId="0" borderId="0"/>
    <xf numFmtId="168" fontId="2" fillId="0" borderId="0"/>
    <xf numFmtId="0" fontId="10" fillId="0" borderId="0"/>
    <xf numFmtId="0" fontId="3" fillId="0" borderId="0"/>
    <xf numFmtId="168" fontId="3" fillId="0" borderId="0"/>
    <xf numFmtId="173" fontId="10" fillId="0" borderId="0" applyFont="0" applyFill="0" applyBorder="0" applyAlignment="0" applyProtection="0"/>
    <xf numFmtId="174" fontId="11" fillId="0" borderId="0">
      <protection locked="0"/>
    </xf>
    <xf numFmtId="175" fontId="11" fillId="0" borderId="0">
      <protection locked="0"/>
    </xf>
    <xf numFmtId="174" fontId="11" fillId="0" borderId="0">
      <protection locked="0"/>
    </xf>
    <xf numFmtId="175" fontId="11" fillId="0" borderId="0">
      <protection locked="0"/>
    </xf>
    <xf numFmtId="176" fontId="11" fillId="0" borderId="0">
      <protection locked="0"/>
    </xf>
    <xf numFmtId="177" fontId="11" fillId="0" borderId="2">
      <protection locked="0"/>
    </xf>
    <xf numFmtId="177" fontId="12" fillId="0" borderId="0">
      <protection locked="0"/>
    </xf>
    <xf numFmtId="177" fontId="12" fillId="0" borderId="0">
      <protection locked="0"/>
    </xf>
    <xf numFmtId="177" fontId="11" fillId="0" borderId="2">
      <protection locked="0"/>
    </xf>
    <xf numFmtId="0" fontId="13" fillId="5" borderId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  <xf numFmtId="178" fontId="17" fillId="0" borderId="3">
      <protection locked="0"/>
    </xf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8" fillId="7" borderId="0" applyNumberFormat="0" applyBorder="0" applyAlignment="0" applyProtection="0"/>
    <xf numFmtId="10" fontId="19" fillId="0" borderId="0" applyNumberFormat="0" applyFill="0" applyBorder="0" applyAlignment="0"/>
    <xf numFmtId="0" fontId="20" fillId="0" borderId="0"/>
    <xf numFmtId="0" fontId="21" fillId="24" borderId="4" applyNumberFormat="0" applyAlignment="0" applyProtection="0"/>
    <xf numFmtId="0" fontId="22" fillId="0" borderId="4" applyNumberFormat="0" applyAlignment="0">
      <protection locked="0"/>
    </xf>
    <xf numFmtId="0" fontId="23" fillId="25" borderId="5" applyNumberFormat="0" applyAlignment="0" applyProtection="0"/>
    <xf numFmtId="0" fontId="24" fillId="0" borderId="6">
      <alignment horizontal="left" vertical="center"/>
    </xf>
    <xf numFmtId="165" fontId="4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167" fontId="4" fillId="0" borderId="0" applyFont="0" applyFill="0" applyBorder="0" applyAlignment="0" applyProtection="0"/>
    <xf numFmtId="3" fontId="26" fillId="0" borderId="0" applyFont="0" applyFill="0" applyBorder="0" applyAlignment="0" applyProtection="0"/>
    <xf numFmtId="178" fontId="27" fillId="26" borderId="3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6" fontId="10" fillId="0" borderId="0" applyFont="0" applyFill="0" applyBorder="0" applyAlignment="0" applyProtection="0"/>
    <xf numFmtId="182" fontId="26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14" fontId="28" fillId="0" borderId="0">
      <alignment vertical="top"/>
    </xf>
    <xf numFmtId="183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0" fontId="25" fillId="0" borderId="7" applyNumberFormat="0" applyFont="0" applyFill="0" applyAlignment="0" applyProtection="0"/>
    <xf numFmtId="0" fontId="29" fillId="0" borderId="0" applyNumberFormat="0" applyFill="0" applyBorder="0" applyAlignment="0" applyProtection="0"/>
    <xf numFmtId="171" fontId="30" fillId="0" borderId="0">
      <alignment vertical="top"/>
    </xf>
    <xf numFmtId="38" fontId="30" fillId="0" borderId="0">
      <alignment vertical="top"/>
    </xf>
    <xf numFmtId="38" fontId="30" fillId="0" borderId="0">
      <alignment vertical="top"/>
    </xf>
    <xf numFmtId="168" fontId="28" fillId="0" borderId="0" applyFont="0" applyFill="0" applyBorder="0" applyAlignment="0" applyProtection="0"/>
    <xf numFmtId="37" fontId="4" fillId="0" borderId="0"/>
    <xf numFmtId="0" fontId="31" fillId="0" borderId="0" applyNumberFormat="0" applyFill="0" applyBorder="0" applyAlignment="0" applyProtection="0"/>
    <xf numFmtId="185" fontId="32" fillId="0" borderId="0" applyFill="0" applyBorder="0" applyAlignment="0" applyProtection="0"/>
    <xf numFmtId="185" fontId="5" fillId="0" borderId="0" applyFill="0" applyBorder="0" applyAlignment="0" applyProtection="0"/>
    <xf numFmtId="185" fontId="33" fillId="0" borderId="0" applyFill="0" applyBorder="0" applyAlignment="0" applyProtection="0"/>
    <xf numFmtId="185" fontId="34" fillId="0" borderId="0" applyFill="0" applyBorder="0" applyAlignment="0" applyProtection="0"/>
    <xf numFmtId="185" fontId="35" fillId="0" borderId="0" applyFill="0" applyBorder="0" applyAlignment="0" applyProtection="0"/>
    <xf numFmtId="185" fontId="36" fillId="0" borderId="0" applyFill="0" applyBorder="0" applyAlignment="0" applyProtection="0"/>
    <xf numFmtId="185" fontId="37" fillId="0" borderId="0" applyFill="0" applyBorder="0" applyAlignment="0" applyProtection="0"/>
    <xf numFmtId="2" fontId="26" fillId="0" borderId="0" applyFont="0" applyFill="0" applyBorder="0" applyAlignment="0" applyProtection="0"/>
    <xf numFmtId="0" fontId="38" fillId="0" borderId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Fill="0" applyBorder="0" applyProtection="0">
      <alignment horizontal="left"/>
    </xf>
    <xf numFmtId="0" fontId="41" fillId="8" borderId="0" applyNumberFormat="0" applyBorder="0" applyAlignment="0" applyProtection="0"/>
    <xf numFmtId="169" fontId="42" fillId="3" borderId="6" applyNumberFormat="0" applyFont="0" applyBorder="0" applyAlignment="0" applyProtection="0"/>
    <xf numFmtId="0" fontId="25" fillId="0" borderId="0" applyFont="0" applyFill="0" applyBorder="0" applyAlignment="0" applyProtection="0">
      <alignment horizontal="right"/>
    </xf>
    <xf numFmtId="186" fontId="43" fillId="3" borderId="0" applyNumberFormat="0" applyFont="0" applyAlignment="0"/>
    <xf numFmtId="0" fontId="44" fillId="0" borderId="0" applyProtection="0">
      <alignment horizontal="right"/>
    </xf>
    <xf numFmtId="0" fontId="22" fillId="24" borderId="4" applyNumberFormat="0" applyAlignment="0"/>
    <xf numFmtId="0" fontId="45" fillId="0" borderId="0">
      <alignment vertical="top"/>
    </xf>
    <xf numFmtId="0" fontId="46" fillId="0" borderId="8" applyNumberFormat="0" applyFill="0" applyAlignment="0" applyProtection="0"/>
    <xf numFmtId="0" fontId="47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0" applyNumberFormat="0" applyFill="0" applyBorder="0" applyAlignment="0" applyProtection="0"/>
    <xf numFmtId="2" fontId="49" fillId="27" borderId="0" applyAlignment="0">
      <alignment horizontal="right"/>
      <protection locked="0"/>
    </xf>
    <xf numFmtId="171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8" fontId="52" fillId="0" borderId="0"/>
    <xf numFmtId="0" fontId="4" fillId="0" borderId="0"/>
    <xf numFmtId="0" fontId="53" fillId="0" borderId="0" applyNumberFormat="0" applyFill="0" applyBorder="0" applyAlignment="0" applyProtection="0">
      <alignment vertical="top"/>
      <protection locked="0"/>
    </xf>
    <xf numFmtId="187" fontId="54" fillId="0" borderId="6">
      <alignment horizontal="center" vertical="center" wrapText="1"/>
    </xf>
    <xf numFmtId="0" fontId="55" fillId="11" borderId="4" applyNumberFormat="0" applyAlignment="0" applyProtection="0"/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171" fontId="6" fillId="0" borderId="0">
      <alignment vertical="top"/>
    </xf>
    <xf numFmtId="171" fontId="6" fillId="2" borderId="0">
      <alignment vertical="top"/>
    </xf>
    <xf numFmtId="38" fontId="6" fillId="2" borderId="0">
      <alignment vertical="top"/>
    </xf>
    <xf numFmtId="38" fontId="6" fillId="2" borderId="0">
      <alignment vertical="top"/>
    </xf>
    <xf numFmtId="38" fontId="6" fillId="0" borderId="0">
      <alignment vertical="top"/>
    </xf>
    <xf numFmtId="188" fontId="6" fillId="3" borderId="0">
      <alignment vertical="top"/>
    </xf>
    <xf numFmtId="38" fontId="6" fillId="0" borderId="0">
      <alignment vertical="top"/>
    </xf>
    <xf numFmtId="0" fontId="57" fillId="0" borderId="11" applyNumberFormat="0" applyFill="0" applyAlignment="0" applyProtection="0"/>
    <xf numFmtId="189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89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91" fontId="59" fillId="0" borderId="6">
      <alignment horizontal="right"/>
      <protection locked="0"/>
    </xf>
    <xf numFmtId="192" fontId="58" fillId="0" borderId="0" applyFont="0" applyFill="0" applyBorder="0" applyAlignment="0" applyProtection="0"/>
    <xf numFmtId="193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193" fontId="58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ill="0" applyBorder="0" applyProtection="0">
      <alignment vertical="center"/>
    </xf>
    <xf numFmtId="0" fontId="25" fillId="0" borderId="0" applyFont="0" applyFill="0" applyBorder="0" applyAlignment="0" applyProtection="0">
      <alignment horizontal="right"/>
    </xf>
    <xf numFmtId="3" fontId="10" fillId="0" borderId="12" applyFont="0" applyBorder="0">
      <alignment horizontal="center" vertical="center"/>
    </xf>
    <xf numFmtId="0" fontId="60" fillId="28" borderId="0" applyNumberFormat="0" applyBorder="0" applyAlignment="0" applyProtection="0"/>
    <xf numFmtId="0" fontId="13" fillId="0" borderId="13"/>
    <xf numFmtId="0" fontId="61" fillId="0" borderId="0" applyNumberFormat="0" applyFill="0" applyBorder="0" applyAlignment="0" applyProtection="0"/>
    <xf numFmtId="194" fontId="10" fillId="0" borderId="0"/>
    <xf numFmtId="0" fontId="61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>
      <alignment horizontal="right"/>
    </xf>
    <xf numFmtId="0" fontId="10" fillId="0" borderId="0"/>
    <xf numFmtId="0" fontId="63" fillId="0" borderId="0"/>
    <xf numFmtId="0" fontId="25" fillId="0" borderId="0" applyFill="0" applyBorder="0" applyProtection="0">
      <alignment vertical="center"/>
    </xf>
    <xf numFmtId="0" fontId="64" fillId="0" borderId="0"/>
    <xf numFmtId="0" fontId="4" fillId="0" borderId="0"/>
    <xf numFmtId="0" fontId="2" fillId="0" borderId="0"/>
    <xf numFmtId="0" fontId="65" fillId="29" borderId="14" applyNumberFormat="0" applyFont="0" applyAlignment="0" applyProtection="0"/>
    <xf numFmtId="195" fontId="10" fillId="0" borderId="0" applyFont="0" applyAlignment="0">
      <alignment horizontal="center"/>
    </xf>
    <xf numFmtId="196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42" fillId="0" borderId="0"/>
    <xf numFmtId="198" fontId="42" fillId="0" borderId="0" applyFont="0" applyFill="0" applyBorder="0" applyAlignment="0" applyProtection="0"/>
    <xf numFmtId="199" fontId="42" fillId="0" borderId="0" applyFont="0" applyFill="0" applyBorder="0" applyAlignment="0" applyProtection="0"/>
    <xf numFmtId="0" fontId="66" fillId="24" borderId="15" applyNumberFormat="0" applyAlignment="0" applyProtection="0"/>
    <xf numFmtId="1" fontId="67" fillId="0" borderId="0" applyProtection="0">
      <alignment horizontal="right" vertical="center"/>
    </xf>
    <xf numFmtId="49" fontId="68" fillId="0" borderId="16" applyFill="0" applyProtection="0">
      <alignment vertical="center"/>
    </xf>
    <xf numFmtId="9" fontId="4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37" fontId="69" fillId="4" borderId="17"/>
    <xf numFmtId="37" fontId="69" fillId="4" borderId="17"/>
    <xf numFmtId="0" fontId="70" fillId="0" borderId="0" applyNumberFormat="0">
      <alignment horizontal="left"/>
    </xf>
    <xf numFmtId="200" fontId="71" fillId="0" borderId="18" applyBorder="0">
      <alignment horizontal="right"/>
      <protection locked="0"/>
    </xf>
    <xf numFmtId="49" fontId="72" fillId="0" borderId="6" applyNumberFormat="0">
      <alignment horizontal="left" vertical="center"/>
    </xf>
    <xf numFmtId="0" fontId="73" fillId="0" borderId="19">
      <alignment vertical="center"/>
    </xf>
    <xf numFmtId="4" fontId="74" fillId="4" borderId="15" applyNumberFormat="0" applyProtection="0">
      <alignment vertical="center"/>
    </xf>
    <xf numFmtId="4" fontId="75" fillId="4" borderId="15" applyNumberFormat="0" applyProtection="0">
      <alignment vertical="center"/>
    </xf>
    <xf numFmtId="4" fontId="74" fillId="4" borderId="15" applyNumberFormat="0" applyProtection="0">
      <alignment horizontal="left" vertical="center" indent="1"/>
    </xf>
    <xf numFmtId="4" fontId="74" fillId="4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4" fontId="74" fillId="31" borderId="15" applyNumberFormat="0" applyProtection="0">
      <alignment horizontal="right" vertical="center"/>
    </xf>
    <xf numFmtId="4" fontId="74" fillId="32" borderId="15" applyNumberFormat="0" applyProtection="0">
      <alignment horizontal="right" vertical="center"/>
    </xf>
    <xf numFmtId="4" fontId="74" fillId="33" borderId="15" applyNumberFormat="0" applyProtection="0">
      <alignment horizontal="right" vertical="center"/>
    </xf>
    <xf numFmtId="4" fontId="74" fillId="34" borderId="15" applyNumberFormat="0" applyProtection="0">
      <alignment horizontal="right" vertical="center"/>
    </xf>
    <xf numFmtId="4" fontId="74" fillId="35" borderId="15" applyNumberFormat="0" applyProtection="0">
      <alignment horizontal="right" vertical="center"/>
    </xf>
    <xf numFmtId="4" fontId="74" fillId="36" borderId="15" applyNumberFormat="0" applyProtection="0">
      <alignment horizontal="right" vertical="center"/>
    </xf>
    <xf numFmtId="4" fontId="74" fillId="37" borderId="15" applyNumberFormat="0" applyProtection="0">
      <alignment horizontal="right" vertical="center"/>
    </xf>
    <xf numFmtId="4" fontId="74" fillId="38" borderId="15" applyNumberFormat="0" applyProtection="0">
      <alignment horizontal="right" vertical="center"/>
    </xf>
    <xf numFmtId="4" fontId="74" fillId="39" borderId="15" applyNumberFormat="0" applyProtection="0">
      <alignment horizontal="right" vertical="center"/>
    </xf>
    <xf numFmtId="4" fontId="76" fillId="40" borderId="15" applyNumberFormat="0" applyProtection="0">
      <alignment horizontal="left" vertical="center" indent="1"/>
    </xf>
    <xf numFmtId="4" fontId="74" fillId="41" borderId="20" applyNumberFormat="0" applyProtection="0">
      <alignment horizontal="left" vertical="center" indent="1"/>
    </xf>
    <xf numFmtId="4" fontId="77" fillId="42" borderId="0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4" fontId="78" fillId="41" borderId="15" applyNumberFormat="0" applyProtection="0">
      <alignment horizontal="left" vertical="center" indent="1"/>
    </xf>
    <xf numFmtId="4" fontId="78" fillId="43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2" borderId="15" applyNumberFormat="0" applyProtection="0">
      <alignment horizontal="left" vertical="center" indent="1"/>
    </xf>
    <xf numFmtId="0" fontId="4" fillId="2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0" fontId="10" fillId="0" borderId="0"/>
    <xf numFmtId="4" fontId="74" fillId="45" borderId="15" applyNumberFormat="0" applyProtection="0">
      <alignment vertical="center"/>
    </xf>
    <xf numFmtId="4" fontId="75" fillId="45" borderId="15" applyNumberFormat="0" applyProtection="0">
      <alignment vertical="center"/>
    </xf>
    <xf numFmtId="4" fontId="74" fillId="45" borderId="15" applyNumberFormat="0" applyProtection="0">
      <alignment horizontal="left" vertical="center" indent="1"/>
    </xf>
    <xf numFmtId="4" fontId="74" fillId="45" borderId="15" applyNumberFormat="0" applyProtection="0">
      <alignment horizontal="left" vertical="center" indent="1"/>
    </xf>
    <xf numFmtId="4" fontId="74" fillId="41" borderId="15" applyNumberFormat="0" applyProtection="0">
      <alignment horizontal="right" vertical="center"/>
    </xf>
    <xf numFmtId="4" fontId="75" fillId="41" borderId="15" applyNumberFormat="0" applyProtection="0">
      <alignment horizontal="right" vertical="center"/>
    </xf>
    <xf numFmtId="0" fontId="4" fillId="30" borderId="15" applyNumberFormat="0" applyProtection="0">
      <alignment horizontal="left" vertical="center" indent="1"/>
    </xf>
    <xf numFmtId="0" fontId="4" fillId="30" borderId="15" applyNumberFormat="0" applyProtection="0">
      <alignment horizontal="left" vertical="center" indent="1"/>
    </xf>
    <xf numFmtId="0" fontId="79" fillId="0" borderId="0"/>
    <xf numFmtId="4" fontId="80" fillId="41" borderId="15" applyNumberFormat="0" applyProtection="0">
      <alignment horizontal="right" vertical="center"/>
    </xf>
    <xf numFmtId="0" fontId="81" fillId="0" borderId="0">
      <alignment horizontal="left" vertical="center" wrapText="1"/>
    </xf>
    <xf numFmtId="0" fontId="4" fillId="0" borderId="0"/>
    <xf numFmtId="0" fontId="2" fillId="0" borderId="0"/>
    <xf numFmtId="0" fontId="82" fillId="0" borderId="0" applyBorder="0" applyProtection="0">
      <alignment vertical="center"/>
    </xf>
    <xf numFmtId="0" fontId="82" fillId="0" borderId="16" applyBorder="0" applyProtection="0">
      <alignment horizontal="right" vertical="center"/>
    </xf>
    <xf numFmtId="0" fontId="83" fillId="46" borderId="0" applyBorder="0" applyProtection="0">
      <alignment horizontal="centerContinuous" vertical="center"/>
    </xf>
    <xf numFmtId="0" fontId="83" fillId="47" borderId="16" applyBorder="0" applyProtection="0">
      <alignment horizontal="centerContinuous" vertical="center"/>
    </xf>
    <xf numFmtId="0" fontId="84" fillId="0" borderId="0"/>
    <xf numFmtId="171" fontId="85" fillId="48" borderId="0">
      <alignment horizontal="right" vertical="top"/>
    </xf>
    <xf numFmtId="38" fontId="85" fillId="48" borderId="0">
      <alignment horizontal="right" vertical="top"/>
    </xf>
    <xf numFmtId="38" fontId="85" fillId="48" borderId="0">
      <alignment horizontal="right" vertical="top"/>
    </xf>
    <xf numFmtId="0" fontId="64" fillId="0" borderId="0"/>
    <xf numFmtId="0" fontId="86" fillId="0" borderId="0" applyFill="0" applyBorder="0" applyProtection="0">
      <alignment horizontal="left"/>
    </xf>
    <xf numFmtId="0" fontId="40" fillId="0" borderId="21" applyFill="0" applyBorder="0" applyProtection="0">
      <alignment horizontal="left" vertical="top"/>
    </xf>
    <xf numFmtId="0" fontId="87" fillId="0" borderId="0">
      <alignment horizontal="centerContinuous"/>
    </xf>
    <xf numFmtId="0" fontId="88" fillId="0" borderId="21" applyFill="0" applyBorder="0" applyProtection="0"/>
    <xf numFmtId="0" fontId="88" fillId="0" borderId="0"/>
    <xf numFmtId="0" fontId="89" fillId="0" borderId="0" applyFill="0" applyBorder="0" applyProtection="0"/>
    <xf numFmtId="0" fontId="90" fillId="0" borderId="0"/>
    <xf numFmtId="0" fontId="91" fillId="0" borderId="0" applyNumberFormat="0" applyFill="0" applyBorder="0" applyAlignment="0" applyProtection="0"/>
    <xf numFmtId="49" fontId="92" fillId="44" borderId="22" applyNumberFormat="0">
      <alignment horizontal="center" vertical="center"/>
    </xf>
    <xf numFmtId="0" fontId="93" fillId="0" borderId="23" applyNumberFormat="0" applyFill="0" applyAlignment="0" applyProtection="0"/>
    <xf numFmtId="0" fontId="94" fillId="0" borderId="7" applyFill="0" applyBorder="0" applyProtection="0">
      <alignment vertical="center"/>
    </xf>
    <xf numFmtId="0" fontId="95" fillId="0" borderId="0">
      <alignment horizontal="fill"/>
    </xf>
    <xf numFmtId="0" fontId="42" fillId="0" borderId="0"/>
    <xf numFmtId="0" fontId="96" fillId="0" borderId="0" applyNumberFormat="0" applyFill="0" applyBorder="0" applyAlignment="0" applyProtection="0"/>
    <xf numFmtId="0" fontId="97" fillId="0" borderId="16" applyBorder="0" applyProtection="0">
      <alignment horizontal="right"/>
    </xf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178" fontId="17" fillId="0" borderId="3">
      <protection locked="0"/>
    </xf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0" fontId="55" fillId="11" borderId="4" applyNumberFormat="0" applyAlignment="0" applyProtection="0"/>
    <xf numFmtId="3" fontId="98" fillId="0" borderId="0">
      <alignment horizontal="center" vertical="center" textRotation="90" wrapText="1"/>
    </xf>
    <xf numFmtId="201" fontId="17" fillId="0" borderId="6">
      <alignment vertical="top" wrapText="1"/>
    </xf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66" fillId="24" borderId="15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202" fontId="102" fillId="0" borderId="6">
      <alignment vertical="top" wrapText="1"/>
    </xf>
    <xf numFmtId="4" fontId="103" fillId="0" borderId="6">
      <alignment horizontal="left" vertical="center"/>
    </xf>
    <xf numFmtId="4" fontId="103" fillId="0" borderId="6"/>
    <xf numFmtId="4" fontId="103" fillId="49" borderId="6"/>
    <xf numFmtId="4" fontId="103" fillId="50" borderId="6"/>
    <xf numFmtId="4" fontId="104" fillId="51" borderId="6"/>
    <xf numFmtId="4" fontId="105" fillId="2" borderId="6"/>
    <xf numFmtId="4" fontId="106" fillId="0" borderId="6">
      <alignment horizontal="center" wrapText="1"/>
    </xf>
    <xf numFmtId="202" fontId="103" fillId="0" borderId="6"/>
    <xf numFmtId="202" fontId="102" fillId="0" borderId="6">
      <alignment horizontal="center" vertical="center" wrapText="1"/>
    </xf>
    <xf numFmtId="202" fontId="102" fillId="0" borderId="6">
      <alignment vertical="top" wrapText="1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07" fillId="0" borderId="0" applyBorder="0">
      <alignment horizontal="center" vertical="center" wrapText="1"/>
    </xf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10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24" applyBorder="0">
      <alignment horizontal="center" vertical="center" wrapText="1"/>
    </xf>
    <xf numFmtId="178" fontId="27" fillId="26" borderId="3"/>
    <xf numFmtId="4" fontId="65" fillId="4" borderId="6" applyBorder="0">
      <alignment horizontal="right"/>
    </xf>
    <xf numFmtId="49" fontId="111" fillId="0" borderId="0" applyBorder="0">
      <alignment vertical="center"/>
    </xf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0" fontId="93" fillId="0" borderId="23" applyNumberFormat="0" applyFill="0" applyAlignment="0" applyProtection="0"/>
    <xf numFmtId="3" fontId="27" fillId="0" borderId="6" applyBorder="0">
      <alignment vertical="center"/>
    </xf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61" fillId="0" borderId="2" applyNumberFormat="0" applyFill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23" fillId="25" borderId="5" applyNumberFormat="0" applyAlignment="0" applyProtection="0"/>
    <xf numFmtId="0" fontId="10" fillId="0" borderId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0" fontId="61" fillId="3" borderId="0" applyFill="0">
      <alignment wrapText="1"/>
    </xf>
    <xf numFmtId="168" fontId="61" fillId="3" borderId="0" applyFill="0">
      <alignment wrapText="1"/>
    </xf>
    <xf numFmtId="0" fontId="109" fillId="0" borderId="0">
      <alignment horizontal="center" vertical="top" wrapText="1"/>
    </xf>
    <xf numFmtId="0" fontId="112" fillId="0" borderId="0">
      <alignment horizontal="centerContinuous" vertical="center" wrapText="1"/>
    </xf>
    <xf numFmtId="168" fontId="109" fillId="0" borderId="0">
      <alignment horizontal="center" vertical="top" wrapText="1"/>
    </xf>
    <xf numFmtId="203" fontId="113" fillId="3" borderId="6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114" fillId="0" borderId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49" fontId="98" fillId="0" borderId="6">
      <alignment horizontal="right" vertical="top" wrapText="1"/>
    </xf>
    <xf numFmtId="185" fontId="115" fillId="0" borderId="0">
      <alignment horizontal="right" vertical="top" wrapText="1"/>
    </xf>
    <xf numFmtId="49" fontId="65" fillId="0" borderId="0" applyBorder="0">
      <alignment vertical="top"/>
    </xf>
    <xf numFmtId="0" fontId="1" fillId="0" borderId="0"/>
    <xf numFmtId="0" fontId="4" fillId="0" borderId="0"/>
    <xf numFmtId="0" fontId="1" fillId="0" borderId="0"/>
    <xf numFmtId="0" fontId="116" fillId="0" borderId="0"/>
    <xf numFmtId="0" fontId="14" fillId="0" borderId="0"/>
    <xf numFmtId="0" fontId="14" fillId="0" borderId="0"/>
    <xf numFmtId="0" fontId="1" fillId="0" borderId="0"/>
    <xf numFmtId="0" fontId="117" fillId="0" borderId="0"/>
    <xf numFmtId="0" fontId="10" fillId="0" borderId="0"/>
    <xf numFmtId="0" fontId="118" fillId="39" borderId="0" applyNumberFormat="0" applyBorder="0" applyAlignment="0">
      <alignment horizontal="left"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49" fontId="65" fillId="39" borderId="0" applyBorder="0">
      <alignment vertical="top"/>
    </xf>
    <xf numFmtId="49" fontId="65" fillId="0" borderId="0" applyBorder="0">
      <alignment vertical="top"/>
    </xf>
    <xf numFmtId="0" fontId="14" fillId="0" borderId="0"/>
    <xf numFmtId="0" fontId="14" fillId="0" borderId="0"/>
    <xf numFmtId="168" fontId="14" fillId="0" borderId="0"/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0" fontId="10" fillId="0" borderId="0"/>
    <xf numFmtId="1" fontId="119" fillId="0" borderId="6">
      <alignment horizontal="left" vertical="center"/>
    </xf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0" fillId="0" borderId="0" applyFont="0" applyFill="0" applyBorder="0" applyProtection="0">
      <alignment horizontal="center" vertical="center" wrapText="1"/>
    </xf>
    <xf numFmtId="0" fontId="10" fillId="0" borderId="0" applyNumberFormat="0" applyFont="0" applyFill="0" applyBorder="0" applyProtection="0">
      <alignment horizontal="justify" vertical="center" wrapText="1"/>
    </xf>
    <xf numFmtId="202" fontId="120" fillId="0" borderId="6">
      <alignment vertical="top"/>
    </xf>
    <xf numFmtId="185" fontId="121" fillId="4" borderId="17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10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0" fontId="4" fillId="29" borderId="14" applyNumberFormat="0" applyFont="0" applyAlignment="0" applyProtection="0"/>
    <xf numFmtId="49" fontId="104" fillId="0" borderId="1">
      <alignment horizontal="left" vertical="center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204" fontId="122" fillId="0" borderId="6"/>
    <xf numFmtId="0" fontId="10" fillId="0" borderId="6" applyNumberFormat="0" applyFont="0" applyFill="0" applyAlignment="0" applyProtection="0"/>
    <xf numFmtId="3" fontId="123" fillId="52" borderId="1">
      <alignment horizontal="justify" vertical="center"/>
    </xf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2" fillId="0" borderId="0"/>
    <xf numFmtId="171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68" fontId="2" fillId="0" borderId="0"/>
    <xf numFmtId="49" fontId="115" fillId="0" borderId="0"/>
    <xf numFmtId="49" fontId="124" fillId="0" borderId="0">
      <alignment vertical="top"/>
    </xf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205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4" fontId="65" fillId="3" borderId="0" applyBorder="0">
      <alignment horizontal="right"/>
    </xf>
    <xf numFmtId="4" fontId="65" fillId="3" borderId="0" applyBorder="0">
      <alignment horizontal="right"/>
    </xf>
    <xf numFmtId="4" fontId="65" fillId="3" borderId="0" applyFont="0" applyBorder="0">
      <alignment horizontal="right"/>
    </xf>
    <xf numFmtId="4" fontId="65" fillId="3" borderId="0" applyBorder="0">
      <alignment horizontal="right"/>
    </xf>
    <xf numFmtId="4" fontId="65" fillId="53" borderId="25" applyBorder="0">
      <alignment horizontal="right"/>
    </xf>
    <xf numFmtId="4" fontId="65" fillId="3" borderId="6" applyFont="0" applyBorder="0">
      <alignment horizontal="right"/>
    </xf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208" fontId="17" fillId="0" borderId="1">
      <alignment vertical="top" wrapText="1"/>
    </xf>
    <xf numFmtId="209" fontId="10" fillId="0" borderId="6" applyFont="0" applyFill="0" applyBorder="0" applyProtection="0">
      <alignment horizontal="center" vertical="center"/>
    </xf>
    <xf numFmtId="3" fontId="10" fillId="0" borderId="0" applyFont="0" applyBorder="0">
      <alignment horizontal="center"/>
    </xf>
    <xf numFmtId="210" fontId="11" fillId="0" borderId="0">
      <protection locked="0"/>
    </xf>
    <xf numFmtId="49" fontId="102" fillId="0" borderId="6">
      <alignment horizontal="center" vertical="center" wrapText="1"/>
    </xf>
    <xf numFmtId="0" fontId="17" fillId="0" borderId="6" applyBorder="0">
      <alignment horizontal="center" vertical="center" wrapText="1"/>
    </xf>
    <xf numFmtId="49" fontId="81" fillId="0" borderId="6" applyNumberFormat="0" applyFill="0" applyAlignment="0" applyProtection="0"/>
    <xf numFmtId="203" fontId="10" fillId="0" borderId="0"/>
    <xf numFmtId="0" fontId="4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90">
    <xf numFmtId="0" fontId="0" fillId="0" borderId="0" xfId="0"/>
    <xf numFmtId="0" fontId="127" fillId="0" borderId="0" xfId="0" applyFont="1" applyAlignment="1">
      <alignment wrapText="1"/>
    </xf>
    <xf numFmtId="0" fontId="125" fillId="55" borderId="6" xfId="0" applyFont="1" applyFill="1" applyBorder="1" applyAlignment="1">
      <alignment vertical="top" wrapText="1"/>
    </xf>
    <xf numFmtId="0" fontId="131" fillId="54" borderId="28" xfId="1710" applyFont="1" applyFill="1" applyBorder="1" applyAlignment="1">
      <alignment horizontal="center" vertical="center" wrapText="1"/>
    </xf>
    <xf numFmtId="0" fontId="133" fillId="54" borderId="6" xfId="1710" applyFont="1" applyFill="1" applyBorder="1" applyAlignment="1">
      <alignment horizontal="center" vertical="center" wrapText="1"/>
    </xf>
    <xf numFmtId="0" fontId="128" fillId="0" borderId="0" xfId="0" applyFont="1" applyAlignment="1">
      <alignment wrapText="1"/>
    </xf>
    <xf numFmtId="0" fontId="128" fillId="0" borderId="0" xfId="0" applyFont="1" applyAlignment="1">
      <alignment vertical="top" wrapText="1"/>
    </xf>
    <xf numFmtId="0" fontId="125" fillId="55" borderId="29" xfId="0" applyFont="1" applyFill="1" applyBorder="1" applyAlignment="1">
      <alignment vertical="top" wrapText="1"/>
    </xf>
    <xf numFmtId="0" fontId="129" fillId="55" borderId="29" xfId="0" applyFont="1" applyFill="1" applyBorder="1" applyAlignment="1">
      <alignment vertical="top" wrapText="1"/>
    </xf>
    <xf numFmtId="0" fontId="125" fillId="0" borderId="29" xfId="0" applyFont="1" applyBorder="1" applyAlignment="1">
      <alignment vertical="top" wrapText="1"/>
    </xf>
    <xf numFmtId="0" fontId="130" fillId="55" borderId="29" xfId="0" applyFont="1" applyFill="1" applyBorder="1" applyAlignment="1">
      <alignment vertical="top" wrapText="1"/>
    </xf>
    <xf numFmtId="0" fontId="131" fillId="54" borderId="32" xfId="1710" applyFont="1" applyFill="1" applyBorder="1" applyAlignment="1">
      <alignment horizontal="center" vertical="center" wrapText="1"/>
    </xf>
    <xf numFmtId="0" fontId="131" fillId="54" borderId="33" xfId="1710" applyFont="1" applyFill="1" applyBorder="1" applyAlignment="1">
      <alignment horizontal="center" vertical="center" wrapText="1"/>
    </xf>
    <xf numFmtId="0" fontId="135" fillId="55" borderId="34" xfId="0" applyFont="1" applyFill="1" applyBorder="1" applyAlignment="1">
      <alignment horizontal="center" vertical="center" wrapText="1"/>
    </xf>
    <xf numFmtId="0" fontId="135" fillId="55" borderId="35" xfId="0" applyFont="1" applyFill="1" applyBorder="1" applyAlignment="1">
      <alignment horizontal="center" vertical="center" wrapText="1"/>
    </xf>
    <xf numFmtId="4" fontId="131" fillId="55" borderId="6" xfId="0" applyNumberFormat="1" applyFont="1" applyFill="1" applyBorder="1" applyAlignment="1">
      <alignment horizontal="center" vertical="center"/>
    </xf>
    <xf numFmtId="203" fontId="125" fillId="55" borderId="6" xfId="0" applyNumberFormat="1" applyFont="1" applyFill="1" applyBorder="1" applyAlignment="1">
      <alignment horizontal="center" vertical="center"/>
    </xf>
    <xf numFmtId="4" fontId="131" fillId="0" borderId="6" xfId="0" applyNumberFormat="1" applyFont="1" applyFill="1" applyBorder="1" applyAlignment="1">
      <alignment horizontal="center" vertical="center"/>
    </xf>
    <xf numFmtId="0" fontId="130" fillId="54" borderId="29" xfId="0" applyFont="1" applyFill="1" applyBorder="1"/>
    <xf numFmtId="203" fontId="134" fillId="54" borderId="6" xfId="0" applyNumberFormat="1" applyFont="1" applyFill="1" applyBorder="1" applyAlignment="1">
      <alignment horizontal="center" vertical="center"/>
    </xf>
    <xf numFmtId="4" fontId="126" fillId="0" borderId="6" xfId="0" applyNumberFormat="1" applyFont="1" applyFill="1" applyBorder="1" applyAlignment="1">
      <alignment horizontal="center" vertical="center"/>
    </xf>
    <xf numFmtId="4" fontId="127" fillId="0" borderId="6" xfId="0" applyNumberFormat="1" applyFont="1" applyFill="1" applyBorder="1" applyAlignment="1">
      <alignment horizontal="center" vertical="center"/>
    </xf>
    <xf numFmtId="0" fontId="128" fillId="0" borderId="0" xfId="0" applyFont="1"/>
    <xf numFmtId="204" fontId="125" fillId="55" borderId="6" xfId="0" applyNumberFormat="1" applyFont="1" applyFill="1" applyBorder="1" applyAlignment="1">
      <alignment horizontal="center" vertical="center"/>
    </xf>
    <xf numFmtId="2" fontId="125" fillId="55" borderId="6" xfId="0" applyNumberFormat="1" applyFont="1" applyFill="1" applyBorder="1" applyAlignment="1">
      <alignment horizontal="center" vertical="center"/>
    </xf>
    <xf numFmtId="4" fontId="132" fillId="55" borderId="6" xfId="0" applyNumberFormat="1" applyFont="1" applyFill="1" applyBorder="1" applyAlignment="1">
      <alignment horizontal="center" vertical="center"/>
    </xf>
    <xf numFmtId="2" fontId="132" fillId="56" borderId="6" xfId="0" applyNumberFormat="1" applyFont="1" applyFill="1" applyBorder="1" applyAlignment="1">
      <alignment horizontal="center" vertical="center"/>
    </xf>
    <xf numFmtId="4" fontId="125" fillId="55" borderId="6" xfId="0" applyNumberFormat="1" applyFont="1" applyFill="1" applyBorder="1" applyAlignment="1">
      <alignment horizontal="center" vertical="center"/>
    </xf>
    <xf numFmtId="2" fontId="134" fillId="56" borderId="6" xfId="0" applyNumberFormat="1" applyFont="1" applyFill="1" applyBorder="1" applyAlignment="1">
      <alignment horizontal="center" vertical="center"/>
    </xf>
    <xf numFmtId="4" fontId="136" fillId="56" borderId="6" xfId="0" applyNumberFormat="1" applyFont="1" applyFill="1" applyBorder="1" applyAlignment="1">
      <alignment horizontal="center" vertical="center"/>
    </xf>
    <xf numFmtId="4" fontId="132" fillId="56" borderId="6" xfId="0" applyNumberFormat="1" applyFont="1" applyFill="1" applyBorder="1" applyAlignment="1">
      <alignment horizontal="center" vertical="center"/>
    </xf>
    <xf numFmtId="0" fontId="125" fillId="0" borderId="29" xfId="0" applyFont="1" applyFill="1" applyBorder="1" applyAlignment="1">
      <alignment vertical="top" wrapText="1"/>
    </xf>
    <xf numFmtId="0" fontId="125" fillId="0" borderId="6" xfId="0" applyFont="1" applyFill="1" applyBorder="1" applyAlignment="1">
      <alignment vertical="top" wrapText="1"/>
    </xf>
    <xf numFmtId="0" fontId="129" fillId="0" borderId="29" xfId="0" applyFont="1" applyFill="1" applyBorder="1" applyAlignment="1">
      <alignment vertical="top" wrapText="1"/>
    </xf>
    <xf numFmtId="4" fontId="128" fillId="0" borderId="0" xfId="0" applyNumberFormat="1" applyFont="1" applyAlignment="1">
      <alignment wrapText="1"/>
    </xf>
    <xf numFmtId="0" fontId="125" fillId="54" borderId="0" xfId="0" applyFont="1" applyFill="1" applyBorder="1" applyAlignment="1">
      <alignment horizontal="left" wrapText="1"/>
    </xf>
    <xf numFmtId="2" fontId="136" fillId="56" borderId="6" xfId="0" applyNumberFormat="1" applyFont="1" applyFill="1" applyBorder="1" applyAlignment="1">
      <alignment horizontal="center" vertical="center"/>
    </xf>
    <xf numFmtId="203" fontId="131" fillId="55" borderId="6" xfId="0" applyNumberFormat="1" applyFont="1" applyFill="1" applyBorder="1" applyAlignment="1">
      <alignment horizontal="center" vertical="center"/>
    </xf>
    <xf numFmtId="203" fontId="132" fillId="55" borderId="6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right" wrapText="1"/>
    </xf>
    <xf numFmtId="0" fontId="134" fillId="0" borderId="0" xfId="0" applyFont="1" applyBorder="1" applyAlignment="1">
      <alignment horizontal="center" wrapText="1"/>
    </xf>
    <xf numFmtId="0" fontId="125" fillId="54" borderId="6" xfId="1710" applyFont="1" applyFill="1" applyBorder="1" applyAlignment="1">
      <alignment horizontal="center" vertical="center" wrapText="1"/>
    </xf>
    <xf numFmtId="166" fontId="125" fillId="54" borderId="6" xfId="199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17" fontId="132" fillId="54" borderId="6" xfId="1710" applyNumberFormat="1" applyFont="1" applyFill="1" applyBorder="1" applyAlignment="1">
      <alignment horizontal="center" vertical="center" wrapText="1"/>
    </xf>
    <xf numFmtId="17" fontId="125" fillId="54" borderId="6" xfId="1710" applyNumberFormat="1" applyFont="1" applyFill="1" applyBorder="1" applyAlignment="1">
      <alignment horizontal="center" vertical="center" wrapText="1"/>
    </xf>
    <xf numFmtId="209" fontId="127" fillId="0" borderId="6" xfId="0" applyNumberFormat="1" applyFont="1" applyFill="1" applyBorder="1" applyAlignment="1">
      <alignment horizontal="center" vertical="center"/>
    </xf>
    <xf numFmtId="209" fontId="126" fillId="0" borderId="6" xfId="0" applyNumberFormat="1" applyFont="1" applyFill="1" applyBorder="1" applyAlignment="1">
      <alignment horizontal="center" vertical="center"/>
    </xf>
    <xf numFmtId="209" fontId="134" fillId="54" borderId="6" xfId="0" applyNumberFormat="1" applyFont="1" applyFill="1" applyBorder="1" applyAlignment="1">
      <alignment horizontal="center" vertical="center"/>
    </xf>
    <xf numFmtId="0" fontId="127" fillId="0" borderId="0" xfId="0" applyFont="1" applyBorder="1" applyAlignment="1">
      <alignment horizontal="right" wrapText="1"/>
    </xf>
    <xf numFmtId="185" fontId="0" fillId="0" borderId="0" xfId="0" applyNumberFormat="1"/>
    <xf numFmtId="209" fontId="125" fillId="0" borderId="29" xfId="0" applyNumberFormat="1" applyFont="1" applyFill="1" applyBorder="1" applyAlignment="1">
      <alignment horizontal="center" vertical="center" wrapText="1"/>
    </xf>
    <xf numFmtId="209" fontId="125" fillId="0" borderId="6" xfId="0" applyNumberFormat="1" applyFont="1" applyFill="1" applyBorder="1" applyAlignment="1">
      <alignment horizontal="center" vertical="center" wrapText="1"/>
    </xf>
    <xf numFmtId="204" fontId="125" fillId="55" borderId="6" xfId="0" applyNumberFormat="1" applyFont="1" applyFill="1" applyBorder="1" applyAlignment="1">
      <alignment horizontal="center" vertical="center" wrapText="1"/>
    </xf>
    <xf numFmtId="185" fontId="125" fillId="55" borderId="6" xfId="0" applyNumberFormat="1" applyFont="1" applyFill="1" applyBorder="1" applyAlignment="1">
      <alignment horizontal="center" vertical="center" wrapText="1"/>
    </xf>
    <xf numFmtId="0" fontId="132" fillId="0" borderId="0" xfId="1710" applyFont="1" applyFill="1" applyBorder="1" applyAlignment="1">
      <alignment horizontal="center" vertical="center" wrapText="1"/>
    </xf>
    <xf numFmtId="0" fontId="0" fillId="0" borderId="0" xfId="0" applyFill="1"/>
    <xf numFmtId="204" fontId="125" fillId="0" borderId="0" xfId="0" applyNumberFormat="1" applyFont="1" applyFill="1" applyBorder="1" applyAlignment="1">
      <alignment horizontal="center" vertical="center"/>
    </xf>
    <xf numFmtId="1" fontId="125" fillId="0" borderId="0" xfId="0" applyNumberFormat="1" applyFont="1" applyFill="1" applyBorder="1" applyAlignment="1">
      <alignment horizontal="center" vertical="center"/>
    </xf>
    <xf numFmtId="2" fontId="125" fillId="0" borderId="0" xfId="0" applyNumberFormat="1" applyFont="1" applyFill="1" applyBorder="1" applyAlignment="1">
      <alignment horizontal="center" vertical="center"/>
    </xf>
    <xf numFmtId="209" fontId="134" fillId="54" borderId="29" xfId="0" applyNumberFormat="1" applyFont="1" applyFill="1" applyBorder="1" applyAlignment="1">
      <alignment horizontal="center" vertical="center"/>
    </xf>
    <xf numFmtId="203" fontId="134" fillId="54" borderId="29" xfId="0" applyNumberFormat="1" applyFont="1" applyFill="1" applyBorder="1" applyAlignment="1">
      <alignment horizontal="center" vertical="center"/>
    </xf>
    <xf numFmtId="209" fontId="0" fillId="0" borderId="0" xfId="0" applyNumberFormat="1"/>
    <xf numFmtId="17" fontId="132" fillId="54" borderId="0" xfId="1710" applyNumberFormat="1" applyFont="1" applyFill="1" applyBorder="1" applyAlignment="1">
      <alignment horizontal="center" vertical="center" wrapText="1"/>
    </xf>
    <xf numFmtId="209" fontId="126" fillId="0" borderId="0" xfId="0" applyNumberFormat="1" applyFont="1" applyFill="1" applyBorder="1" applyAlignment="1">
      <alignment horizontal="center" vertical="center"/>
    </xf>
    <xf numFmtId="209" fontId="127" fillId="0" borderId="0" xfId="0" applyNumberFormat="1" applyFont="1" applyFill="1" applyBorder="1" applyAlignment="1">
      <alignment horizontal="center" vertical="center"/>
    </xf>
    <xf numFmtId="203" fontId="134" fillId="54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2" fontId="125" fillId="55" borderId="6" xfId="0" applyNumberFormat="1" applyFont="1" applyFill="1" applyBorder="1" applyAlignment="1">
      <alignment horizontal="center" vertical="center" wrapText="1"/>
    </xf>
    <xf numFmtId="4" fontId="125" fillId="0" borderId="29" xfId="0" applyNumberFormat="1" applyFont="1" applyFill="1" applyBorder="1" applyAlignment="1">
      <alignment horizontal="center" vertical="center" wrapText="1"/>
    </xf>
    <xf numFmtId="203" fontId="125" fillId="0" borderId="29" xfId="0" applyNumberFormat="1" applyFont="1" applyFill="1" applyBorder="1" applyAlignment="1">
      <alignment horizontal="center" vertical="center" wrapText="1"/>
    </xf>
    <xf numFmtId="4" fontId="125" fillId="0" borderId="6" xfId="0" applyNumberFormat="1" applyFont="1" applyFill="1" applyBorder="1" applyAlignment="1">
      <alignment horizontal="center" vertical="center" wrapText="1"/>
    </xf>
    <xf numFmtId="4" fontId="134" fillId="54" borderId="29" xfId="0" applyNumberFormat="1" applyFont="1" applyFill="1" applyBorder="1" applyAlignment="1">
      <alignment horizontal="center" vertical="center"/>
    </xf>
    <xf numFmtId="4" fontId="134" fillId="54" borderId="6" xfId="0" applyNumberFormat="1" applyFont="1" applyFill="1" applyBorder="1" applyAlignment="1">
      <alignment horizontal="center" vertical="center"/>
    </xf>
    <xf numFmtId="0" fontId="127" fillId="0" borderId="0" xfId="0" applyFont="1" applyBorder="1" applyAlignment="1">
      <alignment horizontal="right" wrapText="1"/>
    </xf>
    <xf numFmtId="203" fontId="128" fillId="0" borderId="0" xfId="0" applyNumberFormat="1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27" fillId="0" borderId="27" xfId="0" applyFont="1" applyBorder="1" applyAlignment="1">
      <alignment horizontal="right"/>
    </xf>
    <xf numFmtId="0" fontId="0" fillId="0" borderId="27" xfId="0" applyBorder="1" applyAlignment="1"/>
    <xf numFmtId="0" fontId="127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27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127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27" fillId="0" borderId="0" xfId="0" applyFont="1" applyBorder="1" applyAlignment="1">
      <alignment horizontal="right" wrapText="1"/>
    </xf>
    <xf numFmtId="204" fontId="0" fillId="0" borderId="0" xfId="0" applyNumberFormat="1"/>
    <xf numFmtId="0" fontId="128" fillId="0" borderId="6" xfId="0" applyFont="1" applyBorder="1" applyAlignment="1">
      <alignment horizontal="center" vertical="center" wrapText="1"/>
    </xf>
    <xf numFmtId="4" fontId="128" fillId="0" borderId="6" xfId="0" applyNumberFormat="1" applyFont="1" applyBorder="1" applyAlignment="1">
      <alignment horizontal="center" vertical="center" wrapText="1"/>
    </xf>
    <xf numFmtId="2" fontId="128" fillId="0" borderId="6" xfId="0" applyNumberFormat="1" applyFont="1" applyBorder="1" applyAlignment="1">
      <alignment horizontal="center" vertical="center" wrapText="1"/>
    </xf>
    <xf numFmtId="2" fontId="128" fillId="0" borderId="0" xfId="0" applyNumberFormat="1" applyFont="1" applyAlignment="1">
      <alignment wrapText="1"/>
    </xf>
    <xf numFmtId="0" fontId="125" fillId="54" borderId="31" xfId="1710" applyFont="1" applyFill="1" applyBorder="1" applyAlignment="1">
      <alignment horizontal="center" vertical="center" wrapText="1"/>
    </xf>
    <xf numFmtId="0" fontId="125" fillId="0" borderId="0" xfId="0" applyFont="1" applyBorder="1" applyAlignment="1">
      <alignment horizontal="right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28" fillId="0" borderId="0" xfId="0" applyFont="1" applyBorder="1" applyAlignment="1">
      <alignment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0" fontId="131" fillId="54" borderId="6" xfId="1710" applyFont="1" applyFill="1" applyBorder="1" applyAlignment="1">
      <alignment horizontal="center" vertical="center" wrapText="1"/>
    </xf>
    <xf numFmtId="185" fontId="125" fillId="55" borderId="6" xfId="0" applyNumberFormat="1" applyFont="1" applyFill="1" applyBorder="1" applyAlignment="1">
      <alignment horizontal="center" vertical="center"/>
    </xf>
    <xf numFmtId="4" fontId="140" fillId="55" borderId="38" xfId="0" applyNumberFormat="1" applyFont="1" applyFill="1" applyBorder="1" applyAlignment="1">
      <alignment horizontal="center" vertical="center"/>
    </xf>
    <xf numFmtId="4" fontId="140" fillId="55" borderId="6" xfId="0" applyNumberFormat="1" applyFont="1" applyFill="1" applyBorder="1" applyAlignment="1">
      <alignment horizontal="center" vertical="center"/>
    </xf>
    <xf numFmtId="4" fontId="139" fillId="55" borderId="38" xfId="0" applyNumberFormat="1" applyFont="1" applyFill="1" applyBorder="1" applyAlignment="1">
      <alignment horizontal="center" vertical="center"/>
    </xf>
    <xf numFmtId="4" fontId="141" fillId="0" borderId="38" xfId="0" applyNumberFormat="1" applyFont="1" applyBorder="1" applyAlignment="1">
      <alignment horizontal="center" vertical="center" wrapText="1"/>
    </xf>
    <xf numFmtId="4" fontId="143" fillId="55" borderId="38" xfId="0" applyNumberFormat="1" applyFont="1" applyFill="1" applyBorder="1" applyAlignment="1">
      <alignment horizontal="center" vertical="center"/>
    </xf>
    <xf numFmtId="167" fontId="141" fillId="55" borderId="38" xfId="1991" applyFont="1" applyFill="1" applyBorder="1" applyAlignment="1">
      <alignment horizontal="center" vertical="center" wrapText="1"/>
    </xf>
    <xf numFmtId="167" fontId="141" fillId="55" borderId="6" xfId="1991" applyFont="1" applyFill="1" applyBorder="1" applyAlignment="1">
      <alignment horizontal="center" vertical="center" wrapText="1"/>
    </xf>
    <xf numFmtId="167" fontId="138" fillId="55" borderId="38" xfId="1991" applyFont="1" applyFill="1" applyBorder="1" applyAlignment="1">
      <alignment horizontal="center" vertical="center" wrapText="1"/>
    </xf>
    <xf numFmtId="167" fontId="138" fillId="55" borderId="6" xfId="1991" applyFont="1" applyFill="1" applyBorder="1" applyAlignment="1">
      <alignment horizontal="center" vertical="center" wrapText="1"/>
    </xf>
    <xf numFmtId="43" fontId="128" fillId="0" borderId="0" xfId="0" applyNumberFormat="1" applyFont="1" applyAlignment="1">
      <alignment wrapText="1"/>
    </xf>
    <xf numFmtId="0" fontId="143" fillId="54" borderId="38" xfId="1710" applyFont="1" applyFill="1" applyBorder="1" applyAlignment="1">
      <alignment horizontal="center" vertical="center" wrapText="1"/>
    </xf>
    <xf numFmtId="0" fontId="146" fillId="54" borderId="6" xfId="1710" applyFont="1" applyFill="1" applyBorder="1" applyAlignment="1">
      <alignment horizontal="center" vertical="center" wrapText="1"/>
    </xf>
    <xf numFmtId="0" fontId="140" fillId="54" borderId="39" xfId="1710" applyFont="1" applyFill="1" applyBorder="1" applyAlignment="1">
      <alignment horizontal="center" vertical="center" wrapText="1"/>
    </xf>
    <xf numFmtId="0" fontId="140" fillId="54" borderId="32" xfId="1710" applyFont="1" applyFill="1" applyBorder="1" applyAlignment="1">
      <alignment horizontal="center" vertical="center" wrapText="1"/>
    </xf>
    <xf numFmtId="0" fontId="140" fillId="54" borderId="28" xfId="1710" applyFont="1" applyFill="1" applyBorder="1" applyAlignment="1">
      <alignment horizontal="center" vertical="center" wrapText="1"/>
    </xf>
    <xf numFmtId="0" fontId="140" fillId="54" borderId="33" xfId="1710" applyFont="1" applyFill="1" applyBorder="1" applyAlignment="1">
      <alignment horizontal="center" vertical="center" wrapText="1"/>
    </xf>
    <xf numFmtId="0" fontId="140" fillId="54" borderId="38" xfId="1710" applyFont="1" applyFill="1" applyBorder="1" applyAlignment="1">
      <alignment horizontal="center" vertical="center" wrapText="1"/>
    </xf>
    <xf numFmtId="0" fontId="140" fillId="54" borderId="6" xfId="1710" applyFont="1" applyFill="1" applyBorder="1" applyAlignment="1">
      <alignment horizontal="center" vertical="center" wrapText="1"/>
    </xf>
    <xf numFmtId="167" fontId="140" fillId="54" borderId="38" xfId="1991" applyFont="1" applyFill="1" applyBorder="1" applyAlignment="1">
      <alignment horizontal="center" vertical="center" wrapText="1"/>
    </xf>
    <xf numFmtId="167" fontId="140" fillId="54" borderId="6" xfId="1991" applyFont="1" applyFill="1" applyBorder="1" applyAlignment="1">
      <alignment horizontal="center" vertical="center" wrapText="1"/>
    </xf>
    <xf numFmtId="167" fontId="146" fillId="54" borderId="6" xfId="1991" applyFont="1" applyFill="1" applyBorder="1" applyAlignment="1">
      <alignment horizontal="center" vertical="center" wrapText="1"/>
    </xf>
    <xf numFmtId="167" fontId="140" fillId="54" borderId="39" xfId="1991" applyFont="1" applyFill="1" applyBorder="1" applyAlignment="1">
      <alignment horizontal="center" vertical="center" wrapText="1"/>
    </xf>
    <xf numFmtId="167" fontId="126" fillId="0" borderId="6" xfId="1991" applyFont="1" applyFill="1" applyBorder="1" applyAlignment="1">
      <alignment horizontal="center" vertical="center"/>
    </xf>
    <xf numFmtId="167" fontId="127" fillId="0" borderId="6" xfId="1991" applyFont="1" applyBorder="1" applyAlignment="1">
      <alignment horizontal="center" vertical="center"/>
    </xf>
    <xf numFmtId="167" fontId="134" fillId="54" borderId="6" xfId="1991" applyFont="1" applyFill="1" applyBorder="1" applyAlignment="1">
      <alignment horizontal="center" vertical="center"/>
    </xf>
    <xf numFmtId="167" fontId="148" fillId="0" borderId="6" xfId="1991" applyFont="1" applyBorder="1" applyAlignment="1">
      <alignment horizontal="center" vertical="center"/>
    </xf>
    <xf numFmtId="166" fontId="134" fillId="54" borderId="6" xfId="1990" applyFont="1" applyFill="1" applyBorder="1" applyAlignment="1">
      <alignment horizontal="center" vertical="center" wrapText="1"/>
    </xf>
    <xf numFmtId="0" fontId="134" fillId="55" borderId="6" xfId="0" applyFont="1" applyFill="1" applyBorder="1" applyAlignment="1">
      <alignment horizontal="center" vertical="center" wrapText="1"/>
    </xf>
    <xf numFmtId="0" fontId="130" fillId="55" borderId="6" xfId="0" applyFont="1" applyFill="1" applyBorder="1" applyAlignment="1">
      <alignment horizontal="center" vertical="center" wrapText="1"/>
    </xf>
    <xf numFmtId="0" fontId="130" fillId="55" borderId="6" xfId="0" applyFont="1" applyFill="1" applyBorder="1" applyAlignment="1">
      <alignment horizontal="center" vertical="center"/>
    </xf>
    <xf numFmtId="0" fontId="149" fillId="55" borderId="6" xfId="0" applyFont="1" applyFill="1" applyBorder="1" applyAlignment="1">
      <alignment vertical="top" wrapText="1"/>
    </xf>
    <xf numFmtId="0" fontId="149" fillId="0" borderId="29" xfId="0" applyFont="1" applyBorder="1" applyAlignment="1">
      <alignment vertical="top" wrapText="1"/>
    </xf>
    <xf numFmtId="167" fontId="140" fillId="54" borderId="29" xfId="1991" applyFont="1" applyFill="1" applyBorder="1" applyAlignment="1">
      <alignment horizontal="center" vertical="center" wrapText="1"/>
    </xf>
    <xf numFmtId="167" fontId="140" fillId="54" borderId="26" xfId="1991" applyFont="1" applyFill="1" applyBorder="1" applyAlignment="1">
      <alignment horizontal="center" vertical="center" wrapText="1"/>
    </xf>
    <xf numFmtId="167" fontId="141" fillId="55" borderId="26" xfId="1991" applyFont="1" applyFill="1" applyBorder="1" applyAlignment="1">
      <alignment horizontal="center" vertical="center" wrapText="1"/>
    </xf>
    <xf numFmtId="0" fontId="150" fillId="54" borderId="26" xfId="1710" applyFont="1" applyFill="1" applyBorder="1" applyAlignment="1">
      <alignment horizontal="center" vertical="center" wrapText="1"/>
    </xf>
    <xf numFmtId="0" fontId="150" fillId="54" borderId="6" xfId="1710" applyFont="1" applyFill="1" applyBorder="1" applyAlignment="1">
      <alignment horizontal="center" vertical="center" wrapText="1"/>
    </xf>
    <xf numFmtId="0" fontId="138" fillId="0" borderId="34" xfId="0" applyFont="1" applyBorder="1" applyAlignment="1">
      <alignment horizontal="center" vertical="center" wrapText="1"/>
    </xf>
    <xf numFmtId="0" fontId="141" fillId="55" borderId="34" xfId="0" applyFont="1" applyFill="1" applyBorder="1" applyAlignment="1">
      <alignment horizontal="center" vertical="center" wrapText="1"/>
    </xf>
    <xf numFmtId="0" fontId="125" fillId="55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47" fillId="57" borderId="34" xfId="0" applyFont="1" applyFill="1" applyBorder="1" applyAlignment="1">
      <alignment horizontal="center" vertical="center" wrapText="1"/>
    </xf>
    <xf numFmtId="16" fontId="141" fillId="0" borderId="34" xfId="0" applyNumberFormat="1" applyFont="1" applyBorder="1" applyAlignment="1">
      <alignment horizontal="center" vertical="center" wrapText="1"/>
    </xf>
    <xf numFmtId="167" fontId="150" fillId="54" borderId="6" xfId="1991" applyFont="1" applyFill="1" applyBorder="1" applyAlignment="1">
      <alignment vertical="center" wrapText="1"/>
    </xf>
    <xf numFmtId="167" fontId="150" fillId="54" borderId="26" xfId="1991" applyFont="1" applyFill="1" applyBorder="1" applyAlignment="1">
      <alignment vertical="center" wrapText="1"/>
    </xf>
    <xf numFmtId="167" fontId="150" fillId="57" borderId="6" xfId="1991" applyFont="1" applyFill="1" applyBorder="1" applyAlignment="1">
      <alignment vertical="center" wrapText="1"/>
    </xf>
    <xf numFmtId="167" fontId="150" fillId="54" borderId="6" xfId="1991" applyFont="1" applyFill="1" applyBorder="1" applyAlignment="1">
      <alignment horizontal="center" vertical="center" wrapText="1"/>
    </xf>
    <xf numFmtId="167" fontId="150" fillId="54" borderId="26" xfId="1991" applyFont="1" applyFill="1" applyBorder="1" applyAlignment="1">
      <alignment horizontal="center" vertical="center" wrapText="1"/>
    </xf>
    <xf numFmtId="0" fontId="152" fillId="55" borderId="6" xfId="0" applyFont="1" applyFill="1" applyBorder="1" applyAlignment="1">
      <alignment vertical="top" wrapText="1"/>
    </xf>
    <xf numFmtId="167" fontId="151" fillId="54" borderId="6" xfId="1991" applyFont="1" applyFill="1" applyBorder="1" applyAlignment="1">
      <alignment vertical="center" wrapText="1"/>
    </xf>
    <xf numFmtId="167" fontId="151" fillId="54" borderId="26" xfId="1991" applyFont="1" applyFill="1" applyBorder="1" applyAlignment="1">
      <alignment vertical="center" wrapText="1"/>
    </xf>
    <xf numFmtId="0" fontId="150" fillId="54" borderId="39" xfId="1710" applyFont="1" applyFill="1" applyBorder="1" applyAlignment="1">
      <alignment horizontal="center" vertical="center" wrapText="1"/>
    </xf>
    <xf numFmtId="167" fontId="150" fillId="54" borderId="39" xfId="1991" applyFont="1" applyFill="1" applyBorder="1" applyAlignment="1">
      <alignment vertical="center" wrapText="1"/>
    </xf>
    <xf numFmtId="167" fontId="150" fillId="54" borderId="38" xfId="1991" applyFont="1" applyFill="1" applyBorder="1" applyAlignment="1">
      <alignment vertical="center" wrapText="1"/>
    </xf>
    <xf numFmtId="17" fontId="134" fillId="54" borderId="6" xfId="1710" applyNumberFormat="1" applyFont="1" applyFill="1" applyBorder="1" applyAlignment="1">
      <alignment horizontal="center" vertical="center" wrapText="1"/>
    </xf>
    <xf numFmtId="167" fontId="127" fillId="54" borderId="6" xfId="1991" applyFont="1" applyFill="1" applyBorder="1" applyAlignment="1">
      <alignment horizontal="center" vertical="center"/>
    </xf>
    <xf numFmtId="167" fontId="148" fillId="54" borderId="6" xfId="1991" applyFont="1" applyFill="1" applyBorder="1" applyAlignment="1">
      <alignment horizontal="center" vertical="center"/>
    </xf>
    <xf numFmtId="167" fontId="151" fillId="54" borderId="26" xfId="1991" applyFont="1" applyFill="1" applyBorder="1" applyAlignment="1">
      <alignment horizontal="center" vertical="center" wrapText="1"/>
    </xf>
    <xf numFmtId="167" fontId="153" fillId="54" borderId="6" xfId="1991" applyFont="1" applyFill="1" applyBorder="1" applyAlignment="1">
      <alignment horizontal="center" vertical="center" wrapText="1"/>
    </xf>
    <xf numFmtId="167" fontId="153" fillId="54" borderId="26" xfId="1991" applyFont="1" applyFill="1" applyBorder="1" applyAlignment="1">
      <alignment horizontal="center" vertical="center" wrapText="1"/>
    </xf>
    <xf numFmtId="167" fontId="153" fillId="57" borderId="6" xfId="1991" applyFont="1" applyFill="1" applyBorder="1" applyAlignment="1">
      <alignment horizontal="center" vertical="center" wrapText="1"/>
    </xf>
    <xf numFmtId="0" fontId="154" fillId="0" borderId="29" xfId="0" applyFont="1" applyBorder="1" applyAlignment="1">
      <alignment vertical="top" wrapText="1"/>
    </xf>
    <xf numFmtId="0" fontId="151" fillId="57" borderId="27" xfId="0" applyFont="1" applyFill="1" applyBorder="1" applyAlignment="1">
      <alignment horizontal="center" vertical="center" wrapText="1"/>
    </xf>
    <xf numFmtId="0" fontId="151" fillId="57" borderId="44" xfId="0" applyFont="1" applyFill="1" applyBorder="1" applyAlignment="1">
      <alignment horizontal="center" vertical="center" wrapText="1"/>
    </xf>
    <xf numFmtId="167" fontId="151" fillId="54" borderId="39" xfId="1991" applyFont="1" applyFill="1" applyBorder="1" applyAlignment="1">
      <alignment vertical="center" wrapText="1"/>
    </xf>
    <xf numFmtId="167" fontId="151" fillId="54" borderId="38" xfId="1991" applyFont="1" applyFill="1" applyBorder="1" applyAlignment="1">
      <alignment vertical="center" wrapText="1"/>
    </xf>
    <xf numFmtId="0" fontId="0" fillId="0" borderId="0" xfId="0" applyBorder="1"/>
    <xf numFmtId="0" fontId="156" fillId="0" borderId="0" xfId="0" applyFont="1" applyAlignment="1">
      <alignment vertical="center"/>
    </xf>
    <xf numFmtId="0" fontId="0" fillId="0" borderId="0" xfId="0" applyAlignment="1">
      <alignment vertical="center"/>
    </xf>
    <xf numFmtId="0" fontId="156" fillId="0" borderId="0" xfId="0" applyFont="1" applyAlignment="1"/>
    <xf numFmtId="0" fontId="0" fillId="0" borderId="0" xfId="0" applyAlignment="1"/>
    <xf numFmtId="0" fontId="155" fillId="0" borderId="0" xfId="0" applyFont="1" applyAlignment="1"/>
    <xf numFmtId="0" fontId="158" fillId="0" borderId="0" xfId="0" applyFont="1" applyAlignment="1">
      <alignment vertical="center"/>
    </xf>
    <xf numFmtId="0" fontId="158" fillId="0" borderId="0" xfId="0" applyFont="1"/>
    <xf numFmtId="0" fontId="148" fillId="0" borderId="0" xfId="0" applyFont="1" applyAlignment="1"/>
    <xf numFmtId="0" fontId="141" fillId="0" borderId="34" xfId="0" applyFont="1" applyBorder="1" applyAlignment="1">
      <alignment horizontal="center" vertical="center" wrapText="1"/>
    </xf>
    <xf numFmtId="0" fontId="128" fillId="54" borderId="0" xfId="0" applyFont="1" applyFill="1" applyAlignment="1">
      <alignment wrapText="1"/>
    </xf>
    <xf numFmtId="2" fontId="140" fillId="55" borderId="6" xfId="1991" applyNumberFormat="1" applyFont="1" applyFill="1" applyBorder="1" applyAlignment="1">
      <alignment horizontal="center" vertical="center" wrapText="1"/>
    </xf>
    <xf numFmtId="2" fontId="146" fillId="55" borderId="6" xfId="1991" applyNumberFormat="1" applyFont="1" applyFill="1" applyBorder="1" applyAlignment="1">
      <alignment horizontal="center" vertical="center" wrapText="1"/>
    </xf>
    <xf numFmtId="167" fontId="141" fillId="55" borderId="39" xfId="1991" applyFont="1" applyFill="1" applyBorder="1" applyAlignment="1">
      <alignment horizontal="center" vertical="center" wrapText="1"/>
    </xf>
    <xf numFmtId="4" fontId="140" fillId="55" borderId="31" xfId="1710" applyNumberFormat="1" applyFont="1" applyFill="1" applyBorder="1" applyAlignment="1">
      <alignment horizontal="center" vertical="center" wrapText="1"/>
    </xf>
    <xf numFmtId="4" fontId="141" fillId="55" borderId="6" xfId="0" applyNumberFormat="1" applyFont="1" applyFill="1" applyBorder="1" applyAlignment="1">
      <alignment horizontal="center" vertical="center" wrapText="1"/>
    </xf>
    <xf numFmtId="4" fontId="141" fillId="55" borderId="39" xfId="0" applyNumberFormat="1" applyFont="1" applyFill="1" applyBorder="1" applyAlignment="1">
      <alignment horizontal="center" vertical="center" wrapText="1"/>
    </xf>
    <xf numFmtId="2" fontId="140" fillId="55" borderId="6" xfId="1710" applyNumberFormat="1" applyFont="1" applyFill="1" applyBorder="1" applyAlignment="1">
      <alignment horizontal="center" vertical="center" wrapText="1"/>
    </xf>
    <xf numFmtId="167" fontId="140" fillId="55" borderId="6" xfId="1991" applyFont="1" applyFill="1" applyBorder="1" applyAlignment="1">
      <alignment horizontal="center" vertical="center" wrapText="1"/>
    </xf>
    <xf numFmtId="167" fontId="140" fillId="55" borderId="38" xfId="1991" applyFont="1" applyFill="1" applyBorder="1" applyAlignment="1">
      <alignment horizontal="center" vertical="center" wrapText="1"/>
    </xf>
    <xf numFmtId="167" fontId="140" fillId="55" borderId="39" xfId="1991" applyFont="1" applyFill="1" applyBorder="1" applyAlignment="1">
      <alignment horizontal="center" vertical="center" wrapText="1"/>
    </xf>
    <xf numFmtId="167" fontId="141" fillId="55" borderId="29" xfId="1991" applyFont="1" applyFill="1" applyBorder="1" applyAlignment="1">
      <alignment horizontal="center" vertical="center" wrapText="1"/>
    </xf>
    <xf numFmtId="167" fontId="146" fillId="55" borderId="6" xfId="1991" applyFont="1" applyFill="1" applyBorder="1" applyAlignment="1">
      <alignment horizontal="center" vertical="center" wrapText="1"/>
    </xf>
    <xf numFmtId="167" fontId="146" fillId="55" borderId="26" xfId="1991" applyFont="1" applyFill="1" applyBorder="1" applyAlignment="1">
      <alignment horizontal="center" vertical="center" wrapText="1"/>
    </xf>
    <xf numFmtId="167" fontId="140" fillId="55" borderId="29" xfId="1991" applyFont="1" applyFill="1" applyBorder="1" applyAlignment="1">
      <alignment horizontal="center" vertical="center" wrapText="1"/>
    </xf>
    <xf numFmtId="2" fontId="140" fillId="58" borderId="6" xfId="1991" applyNumberFormat="1" applyFont="1" applyFill="1" applyBorder="1" applyAlignment="1">
      <alignment horizontal="center" vertical="center" wrapText="1"/>
    </xf>
    <xf numFmtId="2" fontId="146" fillId="58" borderId="6" xfId="1991" applyNumberFormat="1" applyFont="1" applyFill="1" applyBorder="1" applyAlignment="1">
      <alignment horizontal="center" vertical="center" wrapText="1"/>
    </xf>
    <xf numFmtId="4" fontId="139" fillId="58" borderId="38" xfId="1710" applyNumberFormat="1" applyFont="1" applyFill="1" applyBorder="1" applyAlignment="1">
      <alignment horizontal="center" vertical="center" wrapText="1"/>
    </xf>
    <xf numFmtId="4" fontId="139" fillId="58" borderId="31" xfId="1710" applyNumberFormat="1" applyFont="1" applyFill="1" applyBorder="1" applyAlignment="1">
      <alignment horizontal="center" vertical="center" wrapText="1"/>
    </xf>
    <xf numFmtId="2" fontId="139" fillId="58" borderId="6" xfId="1710" applyNumberFormat="1" applyFont="1" applyFill="1" applyBorder="1" applyAlignment="1">
      <alignment horizontal="center" vertical="center" wrapText="1"/>
    </xf>
    <xf numFmtId="167" fontId="139" fillId="58" borderId="6" xfId="1991" applyFont="1" applyFill="1" applyBorder="1" applyAlignment="1">
      <alignment horizontal="center" vertical="center" wrapText="1"/>
    </xf>
    <xf numFmtId="167" fontId="139" fillId="58" borderId="38" xfId="1991" applyFont="1" applyFill="1" applyBorder="1" applyAlignment="1">
      <alignment horizontal="center" vertical="center" wrapText="1"/>
    </xf>
    <xf numFmtId="167" fontId="139" fillId="58" borderId="39" xfId="1991" applyFont="1" applyFill="1" applyBorder="1" applyAlignment="1">
      <alignment horizontal="center" vertical="center" wrapText="1"/>
    </xf>
    <xf numFmtId="167" fontId="140" fillId="58" borderId="6" xfId="1991" applyFont="1" applyFill="1" applyBorder="1" applyAlignment="1">
      <alignment horizontal="center" vertical="center" wrapText="1"/>
    </xf>
    <xf numFmtId="167" fontId="146" fillId="58" borderId="6" xfId="1991" applyFont="1" applyFill="1" applyBorder="1" applyAlignment="1">
      <alignment horizontal="center" vertical="center" wrapText="1"/>
    </xf>
    <xf numFmtId="167" fontId="140" fillId="58" borderId="39" xfId="1991" applyFont="1" applyFill="1" applyBorder="1" applyAlignment="1">
      <alignment horizontal="center" vertical="center" wrapText="1"/>
    </xf>
    <xf numFmtId="167" fontId="140" fillId="58" borderId="38" xfId="1991" applyFont="1" applyFill="1" applyBorder="1" applyAlignment="1">
      <alignment horizontal="center" vertical="center" wrapText="1"/>
    </xf>
    <xf numFmtId="167" fontId="141" fillId="59" borderId="38" xfId="1991" applyFont="1" applyFill="1" applyBorder="1" applyAlignment="1">
      <alignment horizontal="center" vertical="center" wrapText="1"/>
    </xf>
    <xf numFmtId="2" fontId="140" fillId="59" borderId="6" xfId="1991" applyNumberFormat="1" applyFont="1" applyFill="1" applyBorder="1" applyAlignment="1">
      <alignment horizontal="center" vertical="center" wrapText="1"/>
    </xf>
    <xf numFmtId="2" fontId="146" fillId="59" borderId="6" xfId="1991" applyNumberFormat="1" applyFont="1" applyFill="1" applyBorder="1" applyAlignment="1">
      <alignment horizontal="center" vertical="center" wrapText="1"/>
    </xf>
    <xf numFmtId="167" fontId="141" fillId="59" borderId="39" xfId="1991" applyFont="1" applyFill="1" applyBorder="1" applyAlignment="1">
      <alignment horizontal="center" vertical="center" wrapText="1"/>
    </xf>
    <xf numFmtId="4" fontId="139" fillId="59" borderId="38" xfId="1710" applyNumberFormat="1" applyFont="1" applyFill="1" applyBorder="1" applyAlignment="1">
      <alignment horizontal="center" vertical="center" wrapText="1"/>
    </xf>
    <xf numFmtId="4" fontId="139" fillId="59" borderId="31" xfId="1710" applyNumberFormat="1" applyFont="1" applyFill="1" applyBorder="1" applyAlignment="1">
      <alignment horizontal="center" vertical="center" wrapText="1"/>
    </xf>
    <xf numFmtId="4" fontId="138" fillId="59" borderId="6" xfId="0" applyNumberFormat="1" applyFont="1" applyFill="1" applyBorder="1" applyAlignment="1">
      <alignment horizontal="center" vertical="center" wrapText="1"/>
    </xf>
    <xf numFmtId="4" fontId="138" fillId="59" borderId="39" xfId="0" applyNumberFormat="1" applyFont="1" applyFill="1" applyBorder="1" applyAlignment="1">
      <alignment horizontal="center" vertical="center" wrapText="1"/>
    </xf>
    <xf numFmtId="167" fontId="138" fillId="59" borderId="38" xfId="1991" applyFont="1" applyFill="1" applyBorder="1" applyAlignment="1">
      <alignment horizontal="center" vertical="center" wrapText="1"/>
    </xf>
    <xf numFmtId="167" fontId="138" fillId="59" borderId="6" xfId="1991" applyFont="1" applyFill="1" applyBorder="1" applyAlignment="1">
      <alignment horizontal="center" vertical="center" wrapText="1"/>
    </xf>
    <xf numFmtId="2" fontId="139" fillId="59" borderId="6" xfId="1710" applyNumberFormat="1" applyFont="1" applyFill="1" applyBorder="1" applyAlignment="1">
      <alignment horizontal="center" vertical="center" wrapText="1"/>
    </xf>
    <xf numFmtId="167" fontId="138" fillId="59" borderId="39" xfId="1991" applyFont="1" applyFill="1" applyBorder="1" applyAlignment="1">
      <alignment horizontal="center" vertical="center" wrapText="1"/>
    </xf>
    <xf numFmtId="167" fontId="139" fillId="59" borderId="6" xfId="1991" applyFont="1" applyFill="1" applyBorder="1" applyAlignment="1">
      <alignment horizontal="center" vertical="center" wrapText="1"/>
    </xf>
    <xf numFmtId="167" fontId="139" fillId="59" borderId="38" xfId="1991" applyFont="1" applyFill="1" applyBorder="1" applyAlignment="1">
      <alignment horizontal="center" vertical="center" wrapText="1"/>
    </xf>
    <xf numFmtId="167" fontId="139" fillId="59" borderId="39" xfId="1991" applyFont="1" applyFill="1" applyBorder="1" applyAlignment="1">
      <alignment horizontal="center" vertical="center" wrapText="1"/>
    </xf>
    <xf numFmtId="167" fontId="138" fillId="59" borderId="29" xfId="1991" applyFont="1" applyFill="1" applyBorder="1" applyAlignment="1">
      <alignment horizontal="center" vertical="center" wrapText="1"/>
    </xf>
    <xf numFmtId="167" fontId="141" fillId="59" borderId="26" xfId="1991" applyFont="1" applyFill="1" applyBorder="1" applyAlignment="1">
      <alignment horizontal="center" vertical="center" wrapText="1"/>
    </xf>
    <xf numFmtId="167" fontId="140" fillId="59" borderId="6" xfId="1991" applyFont="1" applyFill="1" applyBorder="1" applyAlignment="1">
      <alignment horizontal="center" vertical="center" wrapText="1"/>
    </xf>
    <xf numFmtId="167" fontId="146" fillId="59" borderId="6" xfId="1991" applyFont="1" applyFill="1" applyBorder="1" applyAlignment="1">
      <alignment horizontal="center" vertical="center" wrapText="1"/>
    </xf>
    <xf numFmtId="167" fontId="141" fillId="59" borderId="6" xfId="1991" applyFont="1" applyFill="1" applyBorder="1" applyAlignment="1">
      <alignment horizontal="center" vertical="center" wrapText="1"/>
    </xf>
    <xf numFmtId="167" fontId="140" fillId="59" borderId="39" xfId="1991" applyFont="1" applyFill="1" applyBorder="1" applyAlignment="1">
      <alignment horizontal="center" vertical="center" wrapText="1"/>
    </xf>
    <xf numFmtId="167" fontId="141" fillId="59" borderId="29" xfId="1991" applyFont="1" applyFill="1" applyBorder="1" applyAlignment="1">
      <alignment horizontal="center" vertical="center" wrapText="1"/>
    </xf>
    <xf numFmtId="167" fontId="140" fillId="59" borderId="38" xfId="1991" applyFont="1" applyFill="1" applyBorder="1" applyAlignment="1">
      <alignment horizontal="center" vertical="center" wrapText="1"/>
    </xf>
    <xf numFmtId="4" fontId="141" fillId="59" borderId="6" xfId="0" applyNumberFormat="1" applyFont="1" applyFill="1" applyBorder="1" applyAlignment="1">
      <alignment horizontal="center" vertical="center" wrapText="1"/>
    </xf>
    <xf numFmtId="4" fontId="140" fillId="59" borderId="31" xfId="1710" applyNumberFormat="1" applyFont="1" applyFill="1" applyBorder="1" applyAlignment="1">
      <alignment horizontal="center" vertical="center" wrapText="1"/>
    </xf>
    <xf numFmtId="4" fontId="141" fillId="59" borderId="39" xfId="0" applyNumberFormat="1" applyFont="1" applyFill="1" applyBorder="1" applyAlignment="1">
      <alignment horizontal="center" vertical="center" wrapText="1"/>
    </xf>
    <xf numFmtId="2" fontId="140" fillId="59" borderId="6" xfId="1710" applyNumberFormat="1" applyFont="1" applyFill="1" applyBorder="1" applyAlignment="1">
      <alignment horizontal="center" vertical="center" wrapText="1"/>
    </xf>
    <xf numFmtId="0" fontId="138" fillId="58" borderId="34" xfId="1710" applyFont="1" applyFill="1" applyBorder="1" applyAlignment="1">
      <alignment horizontal="center" vertical="center" wrapText="1"/>
    </xf>
    <xf numFmtId="4" fontId="144" fillId="58" borderId="38" xfId="1710" applyNumberFormat="1" applyFont="1" applyFill="1" applyBorder="1" applyAlignment="1">
      <alignment horizontal="center" vertical="center" wrapText="1"/>
    </xf>
    <xf numFmtId="4" fontId="139" fillId="58" borderId="6" xfId="1710" applyNumberFormat="1" applyFont="1" applyFill="1" applyBorder="1" applyAlignment="1">
      <alignment horizontal="center" vertical="center" wrapText="1"/>
    </xf>
    <xf numFmtId="4" fontId="139" fillId="58" borderId="39" xfId="1710" applyNumberFormat="1" applyFont="1" applyFill="1" applyBorder="1" applyAlignment="1">
      <alignment horizontal="center" vertical="center" wrapText="1"/>
    </xf>
    <xf numFmtId="167" fontId="139" fillId="58" borderId="38" xfId="1710" applyNumberFormat="1" applyFont="1" applyFill="1" applyBorder="1" applyAlignment="1">
      <alignment horizontal="center" vertical="center" wrapText="1"/>
    </xf>
    <xf numFmtId="167" fontId="139" fillId="58" borderId="6" xfId="1710" applyNumberFormat="1" applyFont="1" applyFill="1" applyBorder="1" applyAlignment="1">
      <alignment horizontal="center" vertical="center" wrapText="1"/>
    </xf>
    <xf numFmtId="2" fontId="139" fillId="58" borderId="39" xfId="1710" applyNumberFormat="1" applyFont="1" applyFill="1" applyBorder="1" applyAlignment="1">
      <alignment horizontal="center" vertical="center" wrapText="1"/>
    </xf>
    <xf numFmtId="167" fontId="142" fillId="58" borderId="6" xfId="1991" applyFont="1" applyFill="1" applyBorder="1" applyAlignment="1">
      <alignment horizontal="center" vertical="center" wrapText="1"/>
    </xf>
    <xf numFmtId="167" fontId="139" fillId="58" borderId="29" xfId="1991" applyFont="1" applyFill="1" applyBorder="1" applyAlignment="1">
      <alignment horizontal="center" vertical="center" wrapText="1"/>
    </xf>
    <xf numFmtId="167" fontId="140" fillId="58" borderId="26" xfId="1991" applyFont="1" applyFill="1" applyBorder="1" applyAlignment="1">
      <alignment horizontal="center" vertical="center" wrapText="1"/>
    </xf>
    <xf numFmtId="167" fontId="140" fillId="58" borderId="29" xfId="1991" applyFont="1" applyFill="1" applyBorder="1" applyAlignment="1">
      <alignment horizontal="center" vertical="center" wrapText="1"/>
    </xf>
    <xf numFmtId="0" fontId="137" fillId="0" borderId="12" xfId="0" applyFont="1" applyBorder="1" applyAlignment="1">
      <alignment vertical="center" wrapText="1"/>
    </xf>
    <xf numFmtId="0" fontId="141" fillId="0" borderId="34" xfId="0" applyFont="1" applyBorder="1" applyAlignment="1">
      <alignment horizontal="center" vertical="center" wrapText="1"/>
    </xf>
    <xf numFmtId="4" fontId="141" fillId="0" borderId="52" xfId="0" applyNumberFormat="1" applyFont="1" applyBorder="1" applyAlignment="1">
      <alignment horizontal="center" vertical="center" wrapText="1"/>
    </xf>
    <xf numFmtId="167" fontId="141" fillId="59" borderId="52" xfId="1991" applyFont="1" applyFill="1" applyBorder="1" applyAlignment="1">
      <alignment horizontal="center" vertical="center" wrapText="1"/>
    </xf>
    <xf numFmtId="167" fontId="141" fillId="59" borderId="43" xfId="1991" applyFont="1" applyFill="1" applyBorder="1" applyAlignment="1">
      <alignment horizontal="center" vertical="center" wrapText="1"/>
    </xf>
    <xf numFmtId="167" fontId="141" fillId="59" borderId="53" xfId="1991" applyFont="1" applyFill="1" applyBorder="1" applyAlignment="1">
      <alignment horizontal="center" vertical="center" wrapText="1"/>
    </xf>
    <xf numFmtId="4" fontId="141" fillId="59" borderId="43" xfId="0" applyNumberFormat="1" applyFont="1" applyFill="1" applyBorder="1" applyAlignment="1">
      <alignment horizontal="center" vertical="center" wrapText="1"/>
    </xf>
    <xf numFmtId="167" fontId="141" fillId="59" borderId="45" xfId="1991" applyFont="1" applyFill="1" applyBorder="1" applyAlignment="1">
      <alignment horizontal="center" vertical="center" wrapText="1"/>
    </xf>
    <xf numFmtId="2" fontId="140" fillId="59" borderId="45" xfId="1710" applyNumberFormat="1" applyFont="1" applyFill="1" applyBorder="1" applyAlignment="1">
      <alignment horizontal="center" vertical="center" wrapText="1"/>
    </xf>
    <xf numFmtId="167" fontId="140" fillId="59" borderId="45" xfId="1991" applyFont="1" applyFill="1" applyBorder="1" applyAlignment="1">
      <alignment horizontal="center" vertical="center" wrapText="1"/>
    </xf>
    <xf numFmtId="167" fontId="140" fillId="59" borderId="52" xfId="1991" applyFont="1" applyFill="1" applyBorder="1" applyAlignment="1">
      <alignment horizontal="center" vertical="center" wrapText="1"/>
    </xf>
    <xf numFmtId="167" fontId="140" fillId="59" borderId="53" xfId="1991" applyFont="1" applyFill="1" applyBorder="1" applyAlignment="1">
      <alignment horizontal="center" vertical="center" wrapText="1"/>
    </xf>
    <xf numFmtId="167" fontId="141" fillId="59" borderId="48" xfId="1991" applyFont="1" applyFill="1" applyBorder="1" applyAlignment="1">
      <alignment horizontal="center" vertical="center" wrapText="1"/>
    </xf>
    <xf numFmtId="167" fontId="139" fillId="58" borderId="26" xfId="1991" applyFont="1" applyFill="1" applyBorder="1" applyAlignment="1">
      <alignment horizontal="center" vertical="center" wrapText="1"/>
    </xf>
    <xf numFmtId="167" fontId="138" fillId="58" borderId="39" xfId="1991" applyFont="1" applyFill="1" applyBorder="1" applyAlignment="1">
      <alignment horizontal="center" vertical="center" wrapText="1"/>
    </xf>
    <xf numFmtId="167" fontId="138" fillId="59" borderId="26" xfId="1991" applyFont="1" applyFill="1" applyBorder="1" applyAlignment="1">
      <alignment horizontal="center" vertical="center" wrapText="1"/>
    </xf>
    <xf numFmtId="167" fontId="142" fillId="59" borderId="6" xfId="1991" applyFont="1" applyFill="1" applyBorder="1" applyAlignment="1">
      <alignment horizontal="center" vertical="center" wrapText="1"/>
    </xf>
    <xf numFmtId="0" fontId="127" fillId="0" borderId="6" xfId="0" applyFont="1" applyBorder="1" applyAlignment="1">
      <alignment vertical="center" wrapText="1"/>
    </xf>
    <xf numFmtId="0" fontId="127" fillId="0" borderId="6" xfId="0" applyFont="1" applyBorder="1" applyAlignment="1">
      <alignment horizontal="center" vertical="center"/>
    </xf>
    <xf numFmtId="204" fontId="127" fillId="0" borderId="6" xfId="0" applyNumberFormat="1" applyFont="1" applyBorder="1" applyAlignment="1">
      <alignment horizontal="center" vertical="center"/>
    </xf>
    <xf numFmtId="2" fontId="127" fillId="0" borderId="6" xfId="0" applyNumberFormat="1" applyFont="1" applyBorder="1" applyAlignment="1">
      <alignment horizontal="center" vertical="center"/>
    </xf>
    <xf numFmtId="167" fontId="139" fillId="58" borderId="39" xfId="1991" applyNumberFormat="1" applyFont="1" applyFill="1" applyBorder="1" applyAlignment="1">
      <alignment horizontal="center" vertical="center" wrapText="1"/>
    </xf>
    <xf numFmtId="167" fontId="141" fillId="55" borderId="39" xfId="1991" applyNumberFormat="1" applyFont="1" applyFill="1" applyBorder="1" applyAlignment="1">
      <alignment horizontal="center" vertical="center" wrapText="1"/>
    </xf>
    <xf numFmtId="167" fontId="138" fillId="59" borderId="39" xfId="1991" applyNumberFormat="1" applyFont="1" applyFill="1" applyBorder="1" applyAlignment="1">
      <alignment horizontal="center" vertical="center" wrapText="1"/>
    </xf>
    <xf numFmtId="167" fontId="141" fillId="59" borderId="39" xfId="1991" applyNumberFormat="1" applyFont="1" applyFill="1" applyBorder="1" applyAlignment="1">
      <alignment horizontal="center" vertical="center" wrapText="1"/>
    </xf>
    <xf numFmtId="0" fontId="127" fillId="0" borderId="6" xfId="0" applyFont="1" applyFill="1" applyBorder="1" applyAlignment="1">
      <alignment horizontal="center" vertical="center"/>
    </xf>
    <xf numFmtId="0" fontId="158" fillId="0" borderId="0" xfId="0" applyFont="1" applyAlignment="1">
      <alignment vertical="center" wrapText="1"/>
    </xf>
    <xf numFmtId="167" fontId="138" fillId="59" borderId="38" xfId="1991" applyNumberFormat="1" applyFont="1" applyFill="1" applyBorder="1" applyAlignment="1">
      <alignment horizontal="center" vertical="center" wrapText="1"/>
    </xf>
    <xf numFmtId="0" fontId="152" fillId="0" borderId="6" xfId="0" applyFont="1" applyBorder="1" applyAlignment="1">
      <alignment horizontal="left" vertical="center" wrapText="1"/>
    </xf>
    <xf numFmtId="0" fontId="148" fillId="0" borderId="6" xfId="0" applyFont="1" applyBorder="1" applyAlignment="1">
      <alignment horizontal="left" vertical="center" wrapText="1"/>
    </xf>
    <xf numFmtId="0" fontId="152" fillId="55" borderId="6" xfId="0" applyFont="1" applyFill="1" applyBorder="1" applyAlignment="1">
      <alignment horizontal="left" vertical="center" wrapText="1"/>
    </xf>
    <xf numFmtId="0" fontId="127" fillId="0" borderId="6" xfId="0" applyFont="1" applyBorder="1" applyAlignment="1">
      <alignment vertical="center"/>
    </xf>
    <xf numFmtId="0" fontId="152" fillId="0" borderId="6" xfId="0" applyFont="1" applyFill="1" applyBorder="1" applyAlignment="1">
      <alignment horizontal="left" vertical="center" wrapText="1"/>
    </xf>
    <xf numFmtId="211" fontId="141" fillId="55" borderId="6" xfId="1991" applyNumberFormat="1" applyFont="1" applyFill="1" applyBorder="1" applyAlignment="1">
      <alignment horizontal="center" vertical="center" wrapText="1"/>
    </xf>
    <xf numFmtId="43" fontId="160" fillId="0" borderId="0" xfId="0" applyNumberFormat="1" applyFont="1" applyAlignment="1">
      <alignment wrapText="1"/>
    </xf>
    <xf numFmtId="2" fontId="140" fillId="54" borderId="6" xfId="1991" applyNumberFormat="1" applyFont="1" applyFill="1" applyBorder="1" applyAlignment="1">
      <alignment horizontal="center" vertical="center" wrapText="1"/>
    </xf>
    <xf numFmtId="2" fontId="146" fillId="54" borderId="6" xfId="1991" applyNumberFormat="1" applyFont="1" applyFill="1" applyBorder="1" applyAlignment="1">
      <alignment horizontal="center" vertical="center" wrapText="1"/>
    </xf>
    <xf numFmtId="167" fontId="139" fillId="54" borderId="6" xfId="1991" applyFont="1" applyFill="1" applyBorder="1" applyAlignment="1">
      <alignment horizontal="center" vertical="center" wrapText="1"/>
    </xf>
    <xf numFmtId="167" fontId="142" fillId="54" borderId="6" xfId="1991" applyFont="1" applyFill="1" applyBorder="1" applyAlignment="1">
      <alignment horizontal="center" vertical="center" wrapText="1"/>
    </xf>
    <xf numFmtId="167" fontId="141" fillId="54" borderId="6" xfId="1991" applyFont="1" applyFill="1" applyBorder="1" applyAlignment="1">
      <alignment horizontal="center" vertical="center" wrapText="1"/>
    </xf>
    <xf numFmtId="0" fontId="134" fillId="0" borderId="0" xfId="0" applyFont="1" applyAlignment="1">
      <alignment wrapText="1"/>
    </xf>
    <xf numFmtId="0" fontId="138" fillId="54" borderId="35" xfId="0" applyFont="1" applyFill="1" applyBorder="1" applyAlignment="1">
      <alignment horizontal="center" vertical="center" wrapText="1"/>
    </xf>
    <xf numFmtId="0" fontId="141" fillId="0" borderId="54" xfId="0" applyFont="1" applyBorder="1" applyAlignment="1">
      <alignment horizontal="center" vertical="center" wrapText="1"/>
    </xf>
    <xf numFmtId="2" fontId="140" fillId="59" borderId="45" xfId="1991" applyNumberFormat="1" applyFont="1" applyFill="1" applyBorder="1" applyAlignment="1">
      <alignment horizontal="center" vertical="center" wrapText="1"/>
    </xf>
    <xf numFmtId="2" fontId="146" fillId="59" borderId="45" xfId="1991" applyNumberFormat="1" applyFont="1" applyFill="1" applyBorder="1" applyAlignment="1">
      <alignment horizontal="center" vertical="center" wrapText="1"/>
    </xf>
    <xf numFmtId="4" fontId="140" fillId="59" borderId="45" xfId="1710" applyNumberFormat="1" applyFont="1" applyFill="1" applyBorder="1" applyAlignment="1">
      <alignment horizontal="center" vertical="center" wrapText="1"/>
    </xf>
    <xf numFmtId="4" fontId="141" fillId="59" borderId="45" xfId="0" applyNumberFormat="1" applyFont="1" applyFill="1" applyBorder="1" applyAlignment="1">
      <alignment horizontal="center" vertical="center" wrapText="1"/>
    </xf>
    <xf numFmtId="4" fontId="141" fillId="59" borderId="53" xfId="0" applyNumberFormat="1" applyFont="1" applyFill="1" applyBorder="1" applyAlignment="1">
      <alignment horizontal="center" vertical="center" wrapText="1"/>
    </xf>
    <xf numFmtId="167" fontId="146" fillId="59" borderId="45" xfId="1991" applyFont="1" applyFill="1" applyBorder="1" applyAlignment="1">
      <alignment horizontal="center" vertical="center" wrapText="1"/>
    </xf>
    <xf numFmtId="167" fontId="141" fillId="59" borderId="53" xfId="1991" applyNumberFormat="1" applyFont="1" applyFill="1" applyBorder="1" applyAlignment="1">
      <alignment horizontal="center" vertical="center" wrapText="1"/>
    </xf>
    <xf numFmtId="0" fontId="147" fillId="54" borderId="6" xfId="0" applyFont="1" applyFill="1" applyBorder="1" applyAlignment="1">
      <alignment horizontal="center" vertical="center" wrapText="1"/>
    </xf>
    <xf numFmtId="4" fontId="144" fillId="54" borderId="6" xfId="0" applyNumberFormat="1" applyFont="1" applyFill="1" applyBorder="1" applyAlignment="1">
      <alignment horizontal="center" vertical="center"/>
    </xf>
    <xf numFmtId="4" fontId="139" fillId="54" borderId="6" xfId="0" applyNumberFormat="1" applyFont="1" applyFill="1" applyBorder="1" applyAlignment="1">
      <alignment horizontal="center" vertical="center"/>
    </xf>
    <xf numFmtId="4" fontId="139" fillId="54" borderId="6" xfId="1710" applyNumberFormat="1" applyFont="1" applyFill="1" applyBorder="1" applyAlignment="1">
      <alignment horizontal="center" vertical="center" wrapText="1"/>
    </xf>
    <xf numFmtId="4" fontId="138" fillId="54" borderId="6" xfId="0" applyNumberFormat="1" applyFont="1" applyFill="1" applyBorder="1" applyAlignment="1">
      <alignment horizontal="center" vertical="center" wrapText="1"/>
    </xf>
    <xf numFmtId="167" fontId="138" fillId="54" borderId="6" xfId="1991" applyFont="1" applyFill="1" applyBorder="1" applyAlignment="1">
      <alignment horizontal="center" vertical="center" wrapText="1"/>
    </xf>
    <xf numFmtId="2" fontId="139" fillId="54" borderId="6" xfId="1710" applyNumberFormat="1" applyFont="1" applyFill="1" applyBorder="1" applyAlignment="1">
      <alignment horizontal="center" vertical="center" wrapText="1"/>
    </xf>
    <xf numFmtId="167" fontId="138" fillId="54" borderId="6" xfId="1991" applyNumberFormat="1" applyFont="1" applyFill="1" applyBorder="1" applyAlignment="1">
      <alignment horizontal="center" vertical="center" wrapText="1"/>
    </xf>
    <xf numFmtId="0" fontId="159" fillId="0" borderId="6" xfId="0" applyNumberFormat="1" applyFont="1" applyBorder="1" applyAlignment="1">
      <alignment wrapText="1"/>
    </xf>
    <xf numFmtId="43" fontId="159" fillId="0" borderId="6" xfId="0" applyNumberFormat="1" applyFont="1" applyBorder="1" applyAlignment="1">
      <alignment wrapText="1"/>
    </xf>
    <xf numFmtId="0" fontId="161" fillId="0" borderId="0" xfId="0" applyFont="1" applyAlignment="1">
      <alignment vertical="top" wrapText="1"/>
    </xf>
    <xf numFmtId="0" fontId="161" fillId="0" borderId="0" xfId="0" applyFont="1" applyAlignment="1">
      <alignment wrapText="1"/>
    </xf>
    <xf numFmtId="0" fontId="125" fillId="0" borderId="0" xfId="0" applyFont="1" applyBorder="1" applyAlignment="1">
      <alignment horizontal="right" wrapText="1"/>
    </xf>
    <xf numFmtId="0" fontId="127" fillId="0" borderId="0" xfId="0" applyFont="1" applyAlignment="1">
      <alignment horizontal="right" vertical="center" wrapText="1"/>
    </xf>
    <xf numFmtId="0" fontId="125" fillId="0" borderId="16" xfId="0" applyFont="1" applyBorder="1" applyAlignment="1">
      <alignment horizontal="right" wrapText="1"/>
    </xf>
    <xf numFmtId="0" fontId="134" fillId="0" borderId="16" xfId="0" applyFont="1" applyBorder="1" applyAlignment="1">
      <alignment horizontal="center" wrapText="1"/>
    </xf>
    <xf numFmtId="0" fontId="125" fillId="0" borderId="0" xfId="0" applyFont="1" applyAlignment="1">
      <alignment wrapText="1"/>
    </xf>
    <xf numFmtId="0" fontId="0" fillId="0" borderId="0" xfId="0" applyAlignment="1">
      <alignment wrapText="1"/>
    </xf>
    <xf numFmtId="0" fontId="125" fillId="0" borderId="29" xfId="0" applyFont="1" applyBorder="1" applyAlignment="1">
      <alignment horizontal="center" vertical="center" wrapText="1"/>
    </xf>
    <xf numFmtId="0" fontId="125" fillId="0" borderId="30" xfId="0" applyFont="1" applyBorder="1" applyAlignment="1">
      <alignment horizontal="center" vertical="center" wrapText="1"/>
    </xf>
    <xf numFmtId="0" fontId="125" fillId="0" borderId="26" xfId="0" applyFont="1" applyBorder="1" applyAlignment="1">
      <alignment horizontal="center" vertical="center" wrapText="1"/>
    </xf>
    <xf numFmtId="0" fontId="137" fillId="0" borderId="16" xfId="0" applyFont="1" applyBorder="1" applyAlignment="1">
      <alignment horizontal="center" vertical="center" wrapText="1"/>
    </xf>
    <xf numFmtId="0" fontId="125" fillId="0" borderId="6" xfId="0" applyFont="1" applyBorder="1" applyAlignment="1">
      <alignment horizontal="center" vertical="center" wrapText="1"/>
    </xf>
    <xf numFmtId="167" fontId="139" fillId="54" borderId="25" xfId="1991" applyFont="1" applyFill="1" applyBorder="1" applyAlignment="1">
      <alignment horizontal="center" vertical="center" wrapText="1"/>
    </xf>
    <xf numFmtId="167" fontId="139" fillId="54" borderId="36" xfId="1991" applyFont="1" applyFill="1" applyBorder="1" applyAlignment="1">
      <alignment horizontal="center" vertical="center" wrapText="1"/>
    </xf>
    <xf numFmtId="167" fontId="139" fillId="54" borderId="46" xfId="1991" applyFont="1" applyFill="1" applyBorder="1" applyAlignment="1">
      <alignment horizontal="center" vertical="center" wrapText="1"/>
    </xf>
    <xf numFmtId="0" fontId="138" fillId="54" borderId="25" xfId="0" applyFont="1" applyFill="1" applyBorder="1" applyAlignment="1">
      <alignment horizontal="center" vertical="center" wrapText="1"/>
    </xf>
    <xf numFmtId="0" fontId="138" fillId="54" borderId="36" xfId="0" applyFont="1" applyFill="1" applyBorder="1" applyAlignment="1">
      <alignment horizontal="center" vertical="center" wrapText="1"/>
    </xf>
    <xf numFmtId="0" fontId="138" fillId="54" borderId="37" xfId="0" applyFont="1" applyFill="1" applyBorder="1" applyAlignment="1">
      <alignment horizontal="center" vertical="center" wrapText="1"/>
    </xf>
    <xf numFmtId="0" fontId="139" fillId="54" borderId="25" xfId="0" applyFont="1" applyFill="1" applyBorder="1" applyAlignment="1">
      <alignment horizontal="center" vertical="center" wrapText="1"/>
    </xf>
    <xf numFmtId="0" fontId="145" fillId="54" borderId="36" xfId="0" applyFont="1" applyFill="1" applyBorder="1" applyAlignment="1">
      <alignment horizontal="center" vertical="center" wrapText="1"/>
    </xf>
    <xf numFmtId="0" fontId="145" fillId="54" borderId="37" xfId="0" applyFont="1" applyFill="1" applyBorder="1" applyAlignment="1">
      <alignment horizontal="center" vertical="center" wrapText="1"/>
    </xf>
    <xf numFmtId="167" fontId="141" fillId="54" borderId="49" xfId="1991" applyFont="1" applyFill="1" applyBorder="1" applyAlignment="1">
      <alignment horizontal="center" vertical="center" wrapText="1"/>
    </xf>
    <xf numFmtId="167" fontId="141" fillId="54" borderId="50" xfId="1991" applyFont="1" applyFill="1" applyBorder="1" applyAlignment="1">
      <alignment horizontal="center" vertical="center" wrapText="1"/>
    </xf>
    <xf numFmtId="167" fontId="141" fillId="54" borderId="51" xfId="1991" applyFont="1" applyFill="1" applyBorder="1" applyAlignment="1">
      <alignment horizontal="center" vertical="center" wrapText="1"/>
    </xf>
    <xf numFmtId="0" fontId="138" fillId="54" borderId="40" xfId="0" applyFont="1" applyFill="1" applyBorder="1" applyAlignment="1">
      <alignment horizontal="center" vertical="center" wrapText="1"/>
    </xf>
    <xf numFmtId="0" fontId="138" fillId="54" borderId="41" xfId="0" applyFont="1" applyFill="1" applyBorder="1" applyAlignment="1">
      <alignment horizontal="center" vertical="center" wrapText="1"/>
    </xf>
    <xf numFmtId="0" fontId="138" fillId="54" borderId="42" xfId="0" applyFont="1" applyFill="1" applyBorder="1" applyAlignment="1">
      <alignment horizontal="center" vertical="center" wrapText="1"/>
    </xf>
    <xf numFmtId="0" fontId="138" fillId="54" borderId="47" xfId="0" applyFont="1" applyFill="1" applyBorder="1" applyAlignment="1">
      <alignment horizontal="center" vertical="center" wrapText="1"/>
    </xf>
    <xf numFmtId="167" fontId="138" fillId="54" borderId="25" xfId="1991" applyFont="1" applyFill="1" applyBorder="1" applyAlignment="1">
      <alignment horizontal="center" vertical="center" wrapText="1"/>
    </xf>
    <xf numFmtId="167" fontId="138" fillId="54" borderId="36" xfId="1991" applyFont="1" applyFill="1" applyBorder="1" applyAlignment="1">
      <alignment horizontal="center" vertical="center" wrapText="1"/>
    </xf>
    <xf numFmtId="167" fontId="138" fillId="54" borderId="37" xfId="1991" applyFont="1" applyFill="1" applyBorder="1" applyAlignment="1">
      <alignment horizontal="center" vertical="center" wrapText="1"/>
    </xf>
    <xf numFmtId="0" fontId="156" fillId="0" borderId="12" xfId="0" applyFont="1" applyBorder="1" applyAlignment="1">
      <alignment horizontal="center" vertical="center" wrapText="1"/>
    </xf>
    <xf numFmtId="0" fontId="157" fillId="0" borderId="0" xfId="0" applyFont="1" applyAlignment="1">
      <alignment horizontal="center" wrapText="1"/>
    </xf>
    <xf numFmtId="0" fontId="141" fillId="0" borderId="34" xfId="0" applyFont="1" applyBorder="1" applyAlignment="1">
      <alignment horizontal="center" vertical="center" wrapText="1"/>
    </xf>
    <xf numFmtId="0" fontId="141" fillId="54" borderId="34" xfId="1710" applyFont="1" applyFill="1" applyBorder="1" applyAlignment="1">
      <alignment horizontal="center" vertical="center" wrapText="1"/>
    </xf>
    <xf numFmtId="167" fontId="141" fillId="54" borderId="25" xfId="1991" applyFont="1" applyFill="1" applyBorder="1" applyAlignment="1">
      <alignment horizontal="center" vertical="center" wrapText="1"/>
    </xf>
    <xf numFmtId="167" fontId="141" fillId="54" borderId="36" xfId="1991" applyFont="1" applyFill="1" applyBorder="1" applyAlignment="1">
      <alignment horizontal="center" vertical="center" wrapText="1"/>
    </xf>
    <xf numFmtId="167" fontId="141" fillId="54" borderId="37" xfId="1991" applyFont="1" applyFill="1" applyBorder="1" applyAlignment="1">
      <alignment horizontal="center" vertical="center" wrapText="1"/>
    </xf>
    <xf numFmtId="167" fontId="141" fillId="54" borderId="47" xfId="1991" applyFont="1" applyFill="1" applyBorder="1" applyAlignment="1">
      <alignment horizontal="center" vertical="center" wrapText="1"/>
    </xf>
    <xf numFmtId="167" fontId="139" fillId="54" borderId="40" xfId="1991" applyFont="1" applyFill="1" applyBorder="1" applyAlignment="1">
      <alignment horizontal="center" vertical="center" wrapText="1"/>
    </xf>
    <xf numFmtId="167" fontId="139" fillId="54" borderId="41" xfId="1991" applyFont="1" applyFill="1" applyBorder="1" applyAlignment="1">
      <alignment horizontal="center" vertical="center" wrapText="1"/>
    </xf>
    <xf numFmtId="167" fontId="139" fillId="54" borderId="42" xfId="1991" applyFont="1" applyFill="1" applyBorder="1" applyAlignment="1">
      <alignment horizontal="center" vertical="center" wrapText="1"/>
    </xf>
    <xf numFmtId="0" fontId="15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2" fillId="0" borderId="6" xfId="0" applyFont="1" applyBorder="1" applyAlignment="1">
      <alignment horizontal="center" vertical="center"/>
    </xf>
    <xf numFmtId="0" fontId="151" fillId="57" borderId="6" xfId="0" applyFont="1" applyFill="1" applyBorder="1" applyAlignment="1">
      <alignment horizontal="center" vertical="center" wrapText="1"/>
    </xf>
    <xf numFmtId="0" fontId="137" fillId="0" borderId="0" xfId="0" applyFont="1" applyAlignment="1">
      <alignment horizontal="right" vertical="center"/>
    </xf>
    <xf numFmtId="0" fontId="159" fillId="0" borderId="0" xfId="0" applyFont="1" applyAlignment="1">
      <alignment horizontal="right"/>
    </xf>
    <xf numFmtId="0" fontId="134" fillId="0" borderId="16" xfId="0" applyFont="1" applyBorder="1" applyAlignment="1">
      <alignment horizontal="center" vertical="center" wrapText="1"/>
    </xf>
    <xf numFmtId="0" fontId="156" fillId="0" borderId="0" xfId="0" applyFont="1" applyAlignment="1">
      <alignment horizontal="right" vertical="center"/>
    </xf>
    <xf numFmtId="0" fontId="134" fillId="0" borderId="31" xfId="0" applyFont="1" applyBorder="1" applyAlignment="1">
      <alignment horizontal="center" vertical="center" wrapText="1"/>
    </xf>
    <xf numFmtId="0" fontId="15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7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6" xfId="0" applyBorder="1" applyAlignment="1">
      <alignment horizontal="center" wrapText="1"/>
    </xf>
    <xf numFmtId="0" fontId="12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5" fillId="0" borderId="0" xfId="0" applyFont="1" applyAlignment="1">
      <alignment horizontal="center" wrapText="1"/>
    </xf>
    <xf numFmtId="0" fontId="134" fillId="0" borderId="29" xfId="0" applyFont="1" applyBorder="1" applyAlignment="1">
      <alignment horizontal="center" vertical="center" wrapText="1"/>
    </xf>
    <xf numFmtId="0" fontId="134" fillId="0" borderId="30" xfId="0" applyFont="1" applyBorder="1" applyAlignment="1">
      <alignment horizontal="center" vertical="center" wrapText="1"/>
    </xf>
    <xf numFmtId="0" fontId="134" fillId="0" borderId="26" xfId="0" applyFont="1" applyBorder="1" applyAlignment="1">
      <alignment horizontal="center" vertical="center" wrapText="1"/>
    </xf>
    <xf numFmtId="0" fontId="151" fillId="57" borderId="27" xfId="0" applyFont="1" applyFill="1" applyBorder="1" applyAlignment="1">
      <alignment horizontal="center" vertical="center" wrapText="1"/>
    </xf>
    <xf numFmtId="0" fontId="151" fillId="57" borderId="43" xfId="0" applyFont="1" applyFill="1" applyBorder="1" applyAlignment="1">
      <alignment horizontal="center" vertical="center" wrapText="1"/>
    </xf>
    <xf numFmtId="0" fontId="151" fillId="57" borderId="16" xfId="0" applyFont="1" applyFill="1" applyBorder="1" applyAlignment="1">
      <alignment horizontal="center" vertical="center" wrapText="1"/>
    </xf>
    <xf numFmtId="0" fontId="151" fillId="57" borderId="44" xfId="0" applyFont="1" applyFill="1" applyBorder="1" applyAlignment="1">
      <alignment horizontal="center" vertical="center" wrapText="1"/>
    </xf>
    <xf numFmtId="0" fontId="149" fillId="0" borderId="45" xfId="0" applyFont="1" applyBorder="1" applyAlignment="1">
      <alignment horizontal="center" vertical="center"/>
    </xf>
    <xf numFmtId="0" fontId="149" fillId="0" borderId="1" xfId="0" applyFont="1" applyBorder="1" applyAlignment="1">
      <alignment horizontal="center" vertical="center"/>
    </xf>
    <xf numFmtId="0" fontId="149" fillId="0" borderId="28" xfId="0" applyFont="1" applyBorder="1" applyAlignment="1">
      <alignment horizontal="center" vertical="center"/>
    </xf>
    <xf numFmtId="0" fontId="15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1" fillId="57" borderId="48" xfId="0" applyFont="1" applyFill="1" applyBorder="1" applyAlignment="1">
      <alignment horizontal="center" vertical="center" wrapText="1"/>
    </xf>
    <xf numFmtId="0" fontId="151" fillId="57" borderId="31" xfId="0" applyFont="1" applyFill="1" applyBorder="1" applyAlignment="1">
      <alignment horizontal="center" vertical="center" wrapText="1"/>
    </xf>
    <xf numFmtId="0" fontId="155" fillId="0" borderId="0" xfId="0" applyFont="1" applyAlignment="1">
      <alignment horizontal="center"/>
    </xf>
    <xf numFmtId="0" fontId="155" fillId="0" borderId="0" xfId="0" applyFont="1" applyAlignment="1">
      <alignment horizontal="left" vertical="top" wrapText="1"/>
    </xf>
    <xf numFmtId="0" fontId="159" fillId="60" borderId="6" xfId="0" applyNumberFormat="1" applyFont="1" applyFill="1" applyBorder="1" applyAlignment="1">
      <alignment horizontal="left" wrapText="1"/>
    </xf>
  </cellXfs>
  <cellStyles count="1992">
    <cellStyle name=" 1" xfId="1"/>
    <cellStyle name=" 1 2" xfId="2"/>
    <cellStyle name=" 1_Stage1" xfId="3"/>
    <cellStyle name="_x000a_bidires=100_x000d_" xfId="4"/>
    <cellStyle name="%" xfId="5"/>
    <cellStyle name="%_Inputs" xfId="6"/>
    <cellStyle name="%_Inputs (const)" xfId="7"/>
    <cellStyle name="%_Inputs Co" xfId="8"/>
    <cellStyle name="?…?ж?Ш?и [0.00]" xfId="9"/>
    <cellStyle name="?W??_‘O’с?р??" xfId="10"/>
    <cellStyle name="_CashFlow_2007_проект_02_02_final" xfId="11"/>
    <cellStyle name="_Model_RAB Мой" xfId="12"/>
    <cellStyle name="_Model_RAB Мой 2" xfId="13"/>
    <cellStyle name="_Model_RAB Мой 2_OREP.KU.2011.MONTHLY.02(v0.1)" xfId="14"/>
    <cellStyle name="_Model_RAB Мой 2_OREP.KU.2011.MONTHLY.02(v0.4)" xfId="15"/>
    <cellStyle name="_Model_RAB Мой 2_OREP.KU.2011.MONTHLY.11(v1.4)" xfId="16"/>
    <cellStyle name="_Model_RAB Мой 2_UPDATE.OREP.KU.2011.MONTHLY.02.TO.1.2" xfId="17"/>
    <cellStyle name="_Model_RAB Мой_46EE.2011(v1.0)" xfId="18"/>
    <cellStyle name="_Model_RAB Мой_46EE.2011(v1.0)_46TE.2011(v1.0)" xfId="19"/>
    <cellStyle name="_Model_RAB Мой_46EE.2011(v1.0)_INDEX.STATION.2012(v1.0)_" xfId="20"/>
    <cellStyle name="_Model_RAB Мой_46EE.2011(v1.0)_INDEX.STATION.2012(v2.0)" xfId="21"/>
    <cellStyle name="_Model_RAB Мой_46EE.2011(v1.0)_INDEX.STATION.2012(v2.1)" xfId="22"/>
    <cellStyle name="_Model_RAB Мой_46EE.2011(v1.0)_TEPLO.PREDEL.2012.M(v1.1)_test" xfId="23"/>
    <cellStyle name="_Model_RAB Мой_46EE.2011(v1.2)" xfId="24"/>
    <cellStyle name="_Model_RAB Мой_46EP.2012(v0.1)" xfId="25"/>
    <cellStyle name="_Model_RAB Мой_46TE.2011(v1.0)" xfId="26"/>
    <cellStyle name="_Model_RAB Мой_ARMRAZR" xfId="27"/>
    <cellStyle name="_Model_RAB Мой_BALANCE.WARM.2010.FACT(v1.0)" xfId="28"/>
    <cellStyle name="_Model_RAB Мой_BALANCE.WARM.2010.PLAN" xfId="29"/>
    <cellStyle name="_Model_RAB Мой_BALANCE.WARM.2011YEAR(v0.7)" xfId="30"/>
    <cellStyle name="_Model_RAB Мой_BALANCE.WARM.2011YEAR.NEW.UPDATE.SCHEME" xfId="31"/>
    <cellStyle name="_Model_RAB Мой_EE.2REK.P2011.4.78(v0.3)" xfId="32"/>
    <cellStyle name="_Model_RAB Мой_FORM910.2012(v1.1)" xfId="33"/>
    <cellStyle name="_Model_RAB Мой_INVEST.EE.PLAN.4.78(v0.1)" xfId="34"/>
    <cellStyle name="_Model_RAB Мой_INVEST.EE.PLAN.4.78(v0.3)" xfId="35"/>
    <cellStyle name="_Model_RAB Мой_INVEST.EE.PLAN.4.78(v1.0)" xfId="36"/>
    <cellStyle name="_Model_RAB Мой_INVEST.PLAN.4.78(v0.1)" xfId="37"/>
    <cellStyle name="_Model_RAB Мой_INVEST.WARM.PLAN.4.78(v0.1)" xfId="38"/>
    <cellStyle name="_Model_RAB Мой_INVEST_WARM_PLAN" xfId="39"/>
    <cellStyle name="_Model_RAB Мой_NADB.JNVLS.APTEKA.2011(v1.3.3)" xfId="40"/>
    <cellStyle name="_Model_RAB Мой_NADB.JNVLS.APTEKA.2011(v1.3.3)_46TE.2011(v1.0)" xfId="41"/>
    <cellStyle name="_Model_RAB Мой_NADB.JNVLS.APTEKA.2011(v1.3.3)_INDEX.STATION.2012(v1.0)_" xfId="42"/>
    <cellStyle name="_Model_RAB Мой_NADB.JNVLS.APTEKA.2011(v1.3.3)_INDEX.STATION.2012(v2.0)" xfId="43"/>
    <cellStyle name="_Model_RAB Мой_NADB.JNVLS.APTEKA.2011(v1.3.3)_INDEX.STATION.2012(v2.1)" xfId="44"/>
    <cellStyle name="_Model_RAB Мой_NADB.JNVLS.APTEKA.2011(v1.3.3)_TEPLO.PREDEL.2012.M(v1.1)_test" xfId="45"/>
    <cellStyle name="_Model_RAB Мой_NADB.JNVLS.APTEKA.2011(v1.3.4)" xfId="46"/>
    <cellStyle name="_Model_RAB Мой_NADB.JNVLS.APTEKA.2011(v1.3.4)_46TE.2011(v1.0)" xfId="47"/>
    <cellStyle name="_Model_RAB Мой_NADB.JNVLS.APTEKA.2011(v1.3.4)_INDEX.STATION.2012(v1.0)_" xfId="48"/>
    <cellStyle name="_Model_RAB Мой_NADB.JNVLS.APTEKA.2011(v1.3.4)_INDEX.STATION.2012(v2.0)" xfId="49"/>
    <cellStyle name="_Model_RAB Мой_NADB.JNVLS.APTEKA.2011(v1.3.4)_INDEX.STATION.2012(v2.1)" xfId="50"/>
    <cellStyle name="_Model_RAB Мой_NADB.JNVLS.APTEKA.2011(v1.3.4)_TEPLO.PREDEL.2012.M(v1.1)_test" xfId="51"/>
    <cellStyle name="_Model_RAB Мой_PASSPORT.TEPLO.PROIZV(v2.1)" xfId="52"/>
    <cellStyle name="_Model_RAB Мой_PR.PROG.WARM.NOTCOMBI.2012.2.16_v1.4(04.04.11) " xfId="53"/>
    <cellStyle name="_Model_RAB Мой_PREDEL.JKH.UTV.2011(v1.0.1)" xfId="54"/>
    <cellStyle name="_Model_RAB Мой_PREDEL.JKH.UTV.2011(v1.0.1)_46TE.2011(v1.0)" xfId="55"/>
    <cellStyle name="_Model_RAB Мой_PREDEL.JKH.UTV.2011(v1.0.1)_INDEX.STATION.2012(v1.0)_" xfId="56"/>
    <cellStyle name="_Model_RAB Мой_PREDEL.JKH.UTV.2011(v1.0.1)_INDEX.STATION.2012(v2.0)" xfId="57"/>
    <cellStyle name="_Model_RAB Мой_PREDEL.JKH.UTV.2011(v1.0.1)_INDEX.STATION.2012(v2.1)" xfId="58"/>
    <cellStyle name="_Model_RAB Мой_PREDEL.JKH.UTV.2011(v1.0.1)_TEPLO.PREDEL.2012.M(v1.1)_test" xfId="59"/>
    <cellStyle name="_Model_RAB Мой_PREDEL.JKH.UTV.2011(v1.1)" xfId="60"/>
    <cellStyle name="_Model_RAB Мой_REP.BLR.2012(v1.0)" xfId="61"/>
    <cellStyle name="_Model_RAB Мой_TEPLO.PREDEL.2012.M(v1.1)" xfId="62"/>
    <cellStyle name="_Model_RAB Мой_TEST.TEMPLATE" xfId="63"/>
    <cellStyle name="_Model_RAB Мой_UPDATE.46EE.2011.TO.1.1" xfId="64"/>
    <cellStyle name="_Model_RAB Мой_UPDATE.46TE.2011.TO.1.1" xfId="65"/>
    <cellStyle name="_Model_RAB Мой_UPDATE.46TE.2011.TO.1.2" xfId="66"/>
    <cellStyle name="_Model_RAB Мой_UPDATE.BALANCE.WARM.2011YEAR.TO.1.1" xfId="67"/>
    <cellStyle name="_Model_RAB Мой_UPDATE.BALANCE.WARM.2011YEAR.TO.1.1_46TE.2011(v1.0)" xfId="68"/>
    <cellStyle name="_Model_RAB Мой_UPDATE.BALANCE.WARM.2011YEAR.TO.1.1_INDEX.STATION.2012(v1.0)_" xfId="69"/>
    <cellStyle name="_Model_RAB Мой_UPDATE.BALANCE.WARM.2011YEAR.TO.1.1_INDEX.STATION.2012(v2.0)" xfId="70"/>
    <cellStyle name="_Model_RAB Мой_UPDATE.BALANCE.WARM.2011YEAR.TO.1.1_INDEX.STATION.2012(v2.1)" xfId="71"/>
    <cellStyle name="_Model_RAB Мой_UPDATE.BALANCE.WARM.2011YEAR.TO.1.1_OREP.KU.2011.MONTHLY.02(v1.1)" xfId="72"/>
    <cellStyle name="_Model_RAB Мой_UPDATE.BALANCE.WARM.2011YEAR.TO.1.1_TEPLO.PREDEL.2012.M(v1.1)_test" xfId="73"/>
    <cellStyle name="_Model_RAB Мой_UPDATE.NADB.JNVLS.APTEKA.2011.TO.1.3.4" xfId="74"/>
    <cellStyle name="_Model_RAB Мой_Книга2_PR.PROG.WARM.NOTCOMBI.2012.2.16_v1.4(04.04.11) " xfId="75"/>
    <cellStyle name="_Model_RAB_MRSK_svod" xfId="76"/>
    <cellStyle name="_Model_RAB_MRSK_svod 2" xfId="77"/>
    <cellStyle name="_Model_RAB_MRSK_svod 2_OREP.KU.2011.MONTHLY.02(v0.1)" xfId="78"/>
    <cellStyle name="_Model_RAB_MRSK_svod 2_OREP.KU.2011.MONTHLY.02(v0.4)" xfId="79"/>
    <cellStyle name="_Model_RAB_MRSK_svod 2_OREP.KU.2011.MONTHLY.11(v1.4)" xfId="80"/>
    <cellStyle name="_Model_RAB_MRSK_svod 2_UPDATE.OREP.KU.2011.MONTHLY.02.TO.1.2" xfId="81"/>
    <cellStyle name="_Model_RAB_MRSK_svod_46EE.2011(v1.0)" xfId="82"/>
    <cellStyle name="_Model_RAB_MRSK_svod_46EE.2011(v1.0)_46TE.2011(v1.0)" xfId="83"/>
    <cellStyle name="_Model_RAB_MRSK_svod_46EE.2011(v1.0)_INDEX.STATION.2012(v1.0)_" xfId="84"/>
    <cellStyle name="_Model_RAB_MRSK_svod_46EE.2011(v1.0)_INDEX.STATION.2012(v2.0)" xfId="85"/>
    <cellStyle name="_Model_RAB_MRSK_svod_46EE.2011(v1.0)_INDEX.STATION.2012(v2.1)" xfId="86"/>
    <cellStyle name="_Model_RAB_MRSK_svod_46EE.2011(v1.0)_TEPLO.PREDEL.2012.M(v1.1)_test" xfId="87"/>
    <cellStyle name="_Model_RAB_MRSK_svod_46EE.2011(v1.2)" xfId="88"/>
    <cellStyle name="_Model_RAB_MRSK_svod_46EP.2012(v0.1)" xfId="89"/>
    <cellStyle name="_Model_RAB_MRSK_svod_46TE.2011(v1.0)" xfId="90"/>
    <cellStyle name="_Model_RAB_MRSK_svod_ARMRAZR" xfId="91"/>
    <cellStyle name="_Model_RAB_MRSK_svod_BALANCE.WARM.2010.FACT(v1.0)" xfId="92"/>
    <cellStyle name="_Model_RAB_MRSK_svod_BALANCE.WARM.2010.PLAN" xfId="93"/>
    <cellStyle name="_Model_RAB_MRSK_svod_BALANCE.WARM.2011YEAR(v0.7)" xfId="94"/>
    <cellStyle name="_Model_RAB_MRSK_svod_BALANCE.WARM.2011YEAR.NEW.UPDATE.SCHEME" xfId="95"/>
    <cellStyle name="_Model_RAB_MRSK_svod_EE.2REK.P2011.4.78(v0.3)" xfId="96"/>
    <cellStyle name="_Model_RAB_MRSK_svod_FORM910.2012(v1.1)" xfId="97"/>
    <cellStyle name="_Model_RAB_MRSK_svod_INVEST.EE.PLAN.4.78(v0.1)" xfId="98"/>
    <cellStyle name="_Model_RAB_MRSK_svod_INVEST.EE.PLAN.4.78(v0.3)" xfId="99"/>
    <cellStyle name="_Model_RAB_MRSK_svod_INVEST.EE.PLAN.4.78(v1.0)" xfId="100"/>
    <cellStyle name="_Model_RAB_MRSK_svod_INVEST.PLAN.4.78(v0.1)" xfId="101"/>
    <cellStyle name="_Model_RAB_MRSK_svod_INVEST.WARM.PLAN.4.78(v0.1)" xfId="102"/>
    <cellStyle name="_Model_RAB_MRSK_svod_INVEST_WARM_PLAN" xfId="103"/>
    <cellStyle name="_Model_RAB_MRSK_svod_NADB.JNVLS.APTEKA.2011(v1.3.3)" xfId="104"/>
    <cellStyle name="_Model_RAB_MRSK_svod_NADB.JNVLS.APTEKA.2011(v1.3.3)_46TE.2011(v1.0)" xfId="105"/>
    <cellStyle name="_Model_RAB_MRSK_svod_NADB.JNVLS.APTEKA.2011(v1.3.3)_INDEX.STATION.2012(v1.0)_" xfId="106"/>
    <cellStyle name="_Model_RAB_MRSK_svod_NADB.JNVLS.APTEKA.2011(v1.3.3)_INDEX.STATION.2012(v2.0)" xfId="107"/>
    <cellStyle name="_Model_RAB_MRSK_svod_NADB.JNVLS.APTEKA.2011(v1.3.3)_INDEX.STATION.2012(v2.1)" xfId="108"/>
    <cellStyle name="_Model_RAB_MRSK_svod_NADB.JNVLS.APTEKA.2011(v1.3.3)_TEPLO.PREDEL.2012.M(v1.1)_test" xfId="109"/>
    <cellStyle name="_Model_RAB_MRSK_svod_NADB.JNVLS.APTEKA.2011(v1.3.4)" xfId="110"/>
    <cellStyle name="_Model_RAB_MRSK_svod_NADB.JNVLS.APTEKA.2011(v1.3.4)_46TE.2011(v1.0)" xfId="111"/>
    <cellStyle name="_Model_RAB_MRSK_svod_NADB.JNVLS.APTEKA.2011(v1.3.4)_INDEX.STATION.2012(v1.0)_" xfId="112"/>
    <cellStyle name="_Model_RAB_MRSK_svod_NADB.JNVLS.APTEKA.2011(v1.3.4)_INDEX.STATION.2012(v2.0)" xfId="113"/>
    <cellStyle name="_Model_RAB_MRSK_svod_NADB.JNVLS.APTEKA.2011(v1.3.4)_INDEX.STATION.2012(v2.1)" xfId="114"/>
    <cellStyle name="_Model_RAB_MRSK_svod_NADB.JNVLS.APTEKA.2011(v1.3.4)_TEPLO.PREDEL.2012.M(v1.1)_test" xfId="115"/>
    <cellStyle name="_Model_RAB_MRSK_svod_PASSPORT.TEPLO.PROIZV(v2.1)" xfId="116"/>
    <cellStyle name="_Model_RAB_MRSK_svod_PR.PROG.WARM.NOTCOMBI.2012.2.16_v1.4(04.04.11) " xfId="117"/>
    <cellStyle name="_Model_RAB_MRSK_svod_PREDEL.JKH.UTV.2011(v1.0.1)" xfId="118"/>
    <cellStyle name="_Model_RAB_MRSK_svod_PREDEL.JKH.UTV.2011(v1.0.1)_46TE.2011(v1.0)" xfId="119"/>
    <cellStyle name="_Model_RAB_MRSK_svod_PREDEL.JKH.UTV.2011(v1.0.1)_INDEX.STATION.2012(v1.0)_" xfId="120"/>
    <cellStyle name="_Model_RAB_MRSK_svod_PREDEL.JKH.UTV.2011(v1.0.1)_INDEX.STATION.2012(v2.0)" xfId="121"/>
    <cellStyle name="_Model_RAB_MRSK_svod_PREDEL.JKH.UTV.2011(v1.0.1)_INDEX.STATION.2012(v2.1)" xfId="122"/>
    <cellStyle name="_Model_RAB_MRSK_svod_PREDEL.JKH.UTV.2011(v1.0.1)_TEPLO.PREDEL.2012.M(v1.1)_test" xfId="123"/>
    <cellStyle name="_Model_RAB_MRSK_svod_PREDEL.JKH.UTV.2011(v1.1)" xfId="124"/>
    <cellStyle name="_Model_RAB_MRSK_svod_REP.BLR.2012(v1.0)" xfId="125"/>
    <cellStyle name="_Model_RAB_MRSK_svod_TEPLO.PREDEL.2012.M(v1.1)" xfId="126"/>
    <cellStyle name="_Model_RAB_MRSK_svod_TEST.TEMPLATE" xfId="127"/>
    <cellStyle name="_Model_RAB_MRSK_svod_UPDATE.46EE.2011.TO.1.1" xfId="128"/>
    <cellStyle name="_Model_RAB_MRSK_svod_UPDATE.46TE.2011.TO.1.1" xfId="129"/>
    <cellStyle name="_Model_RAB_MRSK_svod_UPDATE.46TE.2011.TO.1.2" xfId="130"/>
    <cellStyle name="_Model_RAB_MRSK_svod_UPDATE.BALANCE.WARM.2011YEAR.TO.1.1" xfId="131"/>
    <cellStyle name="_Model_RAB_MRSK_svod_UPDATE.BALANCE.WARM.2011YEAR.TO.1.1_46TE.2011(v1.0)" xfId="132"/>
    <cellStyle name="_Model_RAB_MRSK_svod_UPDATE.BALANCE.WARM.2011YEAR.TO.1.1_INDEX.STATION.2012(v1.0)_" xfId="133"/>
    <cellStyle name="_Model_RAB_MRSK_svod_UPDATE.BALANCE.WARM.2011YEAR.TO.1.1_INDEX.STATION.2012(v2.0)" xfId="134"/>
    <cellStyle name="_Model_RAB_MRSK_svod_UPDATE.BALANCE.WARM.2011YEAR.TO.1.1_INDEX.STATION.2012(v2.1)" xfId="135"/>
    <cellStyle name="_Model_RAB_MRSK_svod_UPDATE.BALANCE.WARM.2011YEAR.TO.1.1_OREP.KU.2011.MONTHLY.02(v1.1)" xfId="136"/>
    <cellStyle name="_Model_RAB_MRSK_svod_UPDATE.BALANCE.WARM.2011YEAR.TO.1.1_TEPLO.PREDEL.2012.M(v1.1)_test" xfId="137"/>
    <cellStyle name="_Model_RAB_MRSK_svod_UPDATE.NADB.JNVLS.APTEKA.2011.TO.1.3.4" xfId="138"/>
    <cellStyle name="_Model_RAB_MRSK_svod_Книга2_PR.PROG.WARM.NOTCOMBI.2012.2.16_v1.4(04.04.11) " xfId="139"/>
    <cellStyle name="_Plug" xfId="140"/>
    <cellStyle name="_Бюджет2006_ПОКАЗАТЕЛИ СВОДНЫЕ" xfId="141"/>
    <cellStyle name="_ВО ОП ТЭС-ОТ- 2007" xfId="142"/>
    <cellStyle name="_ВО ОП ТЭС-ОТ- 2007_Новая инструкция1_фст" xfId="143"/>
    <cellStyle name="_ВФ ОАО ТЭС-ОТ- 2009" xfId="144"/>
    <cellStyle name="_ВФ ОАО ТЭС-ОТ- 2009_Новая инструкция1_фст" xfId="145"/>
    <cellStyle name="_выручка по присоединениям2" xfId="146"/>
    <cellStyle name="_выручка по присоединениям2_Новая инструкция1_фст" xfId="147"/>
    <cellStyle name="_Договор аренды ЯЭ с разбивкой" xfId="148"/>
    <cellStyle name="_Договор аренды ЯЭ с разбивкой_Новая инструкция1_фст" xfId="149"/>
    <cellStyle name="_Защита ФЗП" xfId="150"/>
    <cellStyle name="_Исходные данные для модели" xfId="151"/>
    <cellStyle name="_Исходные данные для модели_Новая инструкция1_фст" xfId="152"/>
    <cellStyle name="_Консолидация-2008-проект-new" xfId="153"/>
    <cellStyle name="_МОДЕЛЬ_1 (2)" xfId="154"/>
    <cellStyle name="_МОДЕЛЬ_1 (2) 2" xfId="155"/>
    <cellStyle name="_МОДЕЛЬ_1 (2) 2_OREP.KU.2011.MONTHLY.02(v0.1)" xfId="156"/>
    <cellStyle name="_МОДЕЛЬ_1 (2) 2_OREP.KU.2011.MONTHLY.02(v0.4)" xfId="157"/>
    <cellStyle name="_МОДЕЛЬ_1 (2) 2_OREP.KU.2011.MONTHLY.11(v1.4)" xfId="158"/>
    <cellStyle name="_МОДЕЛЬ_1 (2) 2_UPDATE.OREP.KU.2011.MONTHLY.02.TO.1.2" xfId="159"/>
    <cellStyle name="_МОДЕЛЬ_1 (2)_46EE.2011(v1.0)" xfId="160"/>
    <cellStyle name="_МОДЕЛЬ_1 (2)_46EE.2011(v1.0)_46TE.2011(v1.0)" xfId="161"/>
    <cellStyle name="_МОДЕЛЬ_1 (2)_46EE.2011(v1.0)_INDEX.STATION.2012(v1.0)_" xfId="162"/>
    <cellStyle name="_МОДЕЛЬ_1 (2)_46EE.2011(v1.0)_INDEX.STATION.2012(v2.0)" xfId="163"/>
    <cellStyle name="_МОДЕЛЬ_1 (2)_46EE.2011(v1.0)_INDEX.STATION.2012(v2.1)" xfId="164"/>
    <cellStyle name="_МОДЕЛЬ_1 (2)_46EE.2011(v1.0)_TEPLO.PREDEL.2012.M(v1.1)_test" xfId="165"/>
    <cellStyle name="_МОДЕЛЬ_1 (2)_46EE.2011(v1.2)" xfId="166"/>
    <cellStyle name="_МОДЕЛЬ_1 (2)_46EP.2012(v0.1)" xfId="167"/>
    <cellStyle name="_МОДЕЛЬ_1 (2)_46TE.2011(v1.0)" xfId="168"/>
    <cellStyle name="_МОДЕЛЬ_1 (2)_ARMRAZR" xfId="169"/>
    <cellStyle name="_МОДЕЛЬ_1 (2)_BALANCE.WARM.2010.FACT(v1.0)" xfId="170"/>
    <cellStyle name="_МОДЕЛЬ_1 (2)_BALANCE.WARM.2010.PLAN" xfId="171"/>
    <cellStyle name="_МОДЕЛЬ_1 (2)_BALANCE.WARM.2011YEAR(v0.7)" xfId="172"/>
    <cellStyle name="_МОДЕЛЬ_1 (2)_BALANCE.WARM.2011YEAR.NEW.UPDATE.SCHEME" xfId="173"/>
    <cellStyle name="_МОДЕЛЬ_1 (2)_EE.2REK.P2011.4.78(v0.3)" xfId="174"/>
    <cellStyle name="_МОДЕЛЬ_1 (2)_FORM910.2012(v1.1)" xfId="175"/>
    <cellStyle name="_МОДЕЛЬ_1 (2)_INVEST.EE.PLAN.4.78(v0.1)" xfId="176"/>
    <cellStyle name="_МОДЕЛЬ_1 (2)_INVEST.EE.PLAN.4.78(v0.3)" xfId="177"/>
    <cellStyle name="_МОДЕЛЬ_1 (2)_INVEST.EE.PLAN.4.78(v1.0)" xfId="178"/>
    <cellStyle name="_МОДЕЛЬ_1 (2)_INVEST.PLAN.4.78(v0.1)" xfId="179"/>
    <cellStyle name="_МОДЕЛЬ_1 (2)_INVEST.WARM.PLAN.4.78(v0.1)" xfId="180"/>
    <cellStyle name="_МОДЕЛЬ_1 (2)_INVEST_WARM_PLAN" xfId="181"/>
    <cellStyle name="_МОДЕЛЬ_1 (2)_NADB.JNVLS.APTEKA.2011(v1.3.3)" xfId="182"/>
    <cellStyle name="_МОДЕЛЬ_1 (2)_NADB.JNVLS.APTEKA.2011(v1.3.3)_46TE.2011(v1.0)" xfId="183"/>
    <cellStyle name="_МОДЕЛЬ_1 (2)_NADB.JNVLS.APTEKA.2011(v1.3.3)_INDEX.STATION.2012(v1.0)_" xfId="184"/>
    <cellStyle name="_МОДЕЛЬ_1 (2)_NADB.JNVLS.APTEKA.2011(v1.3.3)_INDEX.STATION.2012(v2.0)" xfId="185"/>
    <cellStyle name="_МОДЕЛЬ_1 (2)_NADB.JNVLS.APTEKA.2011(v1.3.3)_INDEX.STATION.2012(v2.1)" xfId="186"/>
    <cellStyle name="_МОДЕЛЬ_1 (2)_NADB.JNVLS.APTEKA.2011(v1.3.3)_TEPLO.PREDEL.2012.M(v1.1)_test" xfId="187"/>
    <cellStyle name="_МОДЕЛЬ_1 (2)_NADB.JNVLS.APTEKA.2011(v1.3.4)" xfId="188"/>
    <cellStyle name="_МОДЕЛЬ_1 (2)_NADB.JNVLS.APTEKA.2011(v1.3.4)_46TE.2011(v1.0)" xfId="189"/>
    <cellStyle name="_МОДЕЛЬ_1 (2)_NADB.JNVLS.APTEKA.2011(v1.3.4)_INDEX.STATION.2012(v1.0)_" xfId="190"/>
    <cellStyle name="_МОДЕЛЬ_1 (2)_NADB.JNVLS.APTEKA.2011(v1.3.4)_INDEX.STATION.2012(v2.0)" xfId="191"/>
    <cellStyle name="_МОДЕЛЬ_1 (2)_NADB.JNVLS.APTEKA.2011(v1.3.4)_INDEX.STATION.2012(v2.1)" xfId="192"/>
    <cellStyle name="_МОДЕЛЬ_1 (2)_NADB.JNVLS.APTEKA.2011(v1.3.4)_TEPLO.PREDEL.2012.M(v1.1)_test" xfId="193"/>
    <cellStyle name="_МОДЕЛЬ_1 (2)_PASSPORT.TEPLO.PROIZV(v2.1)" xfId="194"/>
    <cellStyle name="_МОДЕЛЬ_1 (2)_PR.PROG.WARM.NOTCOMBI.2012.2.16_v1.4(04.04.11) " xfId="195"/>
    <cellStyle name="_МОДЕЛЬ_1 (2)_PREDEL.JKH.UTV.2011(v1.0.1)" xfId="196"/>
    <cellStyle name="_МОДЕЛЬ_1 (2)_PREDEL.JKH.UTV.2011(v1.0.1)_46TE.2011(v1.0)" xfId="197"/>
    <cellStyle name="_МОДЕЛЬ_1 (2)_PREDEL.JKH.UTV.2011(v1.0.1)_INDEX.STATION.2012(v1.0)_" xfId="198"/>
    <cellStyle name="_МОДЕЛЬ_1 (2)_PREDEL.JKH.UTV.2011(v1.0.1)_INDEX.STATION.2012(v2.0)" xfId="199"/>
    <cellStyle name="_МОДЕЛЬ_1 (2)_PREDEL.JKH.UTV.2011(v1.0.1)_INDEX.STATION.2012(v2.1)" xfId="200"/>
    <cellStyle name="_МОДЕЛЬ_1 (2)_PREDEL.JKH.UTV.2011(v1.0.1)_TEPLO.PREDEL.2012.M(v1.1)_test" xfId="201"/>
    <cellStyle name="_МОДЕЛЬ_1 (2)_PREDEL.JKH.UTV.2011(v1.1)" xfId="202"/>
    <cellStyle name="_МОДЕЛЬ_1 (2)_REP.BLR.2012(v1.0)" xfId="203"/>
    <cellStyle name="_МОДЕЛЬ_1 (2)_TEPLO.PREDEL.2012.M(v1.1)" xfId="204"/>
    <cellStyle name="_МОДЕЛЬ_1 (2)_TEST.TEMPLATE" xfId="205"/>
    <cellStyle name="_МОДЕЛЬ_1 (2)_UPDATE.46EE.2011.TO.1.1" xfId="206"/>
    <cellStyle name="_МОДЕЛЬ_1 (2)_UPDATE.46TE.2011.TO.1.1" xfId="207"/>
    <cellStyle name="_МОДЕЛЬ_1 (2)_UPDATE.46TE.2011.TO.1.2" xfId="208"/>
    <cellStyle name="_МОДЕЛЬ_1 (2)_UPDATE.BALANCE.WARM.2011YEAR.TO.1.1" xfId="209"/>
    <cellStyle name="_МОДЕЛЬ_1 (2)_UPDATE.BALANCE.WARM.2011YEAR.TO.1.1_46TE.2011(v1.0)" xfId="210"/>
    <cellStyle name="_МОДЕЛЬ_1 (2)_UPDATE.BALANCE.WARM.2011YEAR.TO.1.1_INDEX.STATION.2012(v1.0)_" xfId="211"/>
    <cellStyle name="_МОДЕЛЬ_1 (2)_UPDATE.BALANCE.WARM.2011YEAR.TO.1.1_INDEX.STATION.2012(v2.0)" xfId="212"/>
    <cellStyle name="_МОДЕЛЬ_1 (2)_UPDATE.BALANCE.WARM.2011YEAR.TO.1.1_INDEX.STATION.2012(v2.1)" xfId="213"/>
    <cellStyle name="_МОДЕЛЬ_1 (2)_UPDATE.BALANCE.WARM.2011YEAR.TO.1.1_OREP.KU.2011.MONTHLY.02(v1.1)" xfId="214"/>
    <cellStyle name="_МОДЕЛЬ_1 (2)_UPDATE.BALANCE.WARM.2011YEAR.TO.1.1_TEPLO.PREDEL.2012.M(v1.1)_test" xfId="215"/>
    <cellStyle name="_МОДЕЛЬ_1 (2)_UPDATE.NADB.JNVLS.APTEKA.2011.TO.1.3.4" xfId="216"/>
    <cellStyle name="_МОДЕЛЬ_1 (2)_Книга2_PR.PROG.WARM.NOTCOMBI.2012.2.16_v1.4(04.04.11) " xfId="217"/>
    <cellStyle name="_НВВ 2009 постатейно свод по филиалам_09_02_09" xfId="218"/>
    <cellStyle name="_НВВ 2009 постатейно свод по филиалам_09_02_09_Новая инструкция1_фст" xfId="219"/>
    <cellStyle name="_НВВ 2009 постатейно свод по филиалам_для Валентина" xfId="220"/>
    <cellStyle name="_НВВ 2009 постатейно свод по филиалам_для Валентина_Новая инструкция1_фст" xfId="221"/>
    <cellStyle name="_Омск" xfId="222"/>
    <cellStyle name="_Омск_Новая инструкция1_фст" xfId="223"/>
    <cellStyle name="_ОТ ИД 2009" xfId="224"/>
    <cellStyle name="_ОТ ИД 2009_Новая инструкция1_фст" xfId="225"/>
    <cellStyle name="_пр 5 тариф RAB" xfId="226"/>
    <cellStyle name="_пр 5 тариф RAB 2" xfId="227"/>
    <cellStyle name="_пр 5 тариф RAB 2_OREP.KU.2011.MONTHLY.02(v0.1)" xfId="228"/>
    <cellStyle name="_пр 5 тариф RAB 2_OREP.KU.2011.MONTHLY.02(v0.4)" xfId="229"/>
    <cellStyle name="_пр 5 тариф RAB 2_OREP.KU.2011.MONTHLY.11(v1.4)" xfId="230"/>
    <cellStyle name="_пр 5 тариф RAB 2_UPDATE.OREP.KU.2011.MONTHLY.02.TO.1.2" xfId="231"/>
    <cellStyle name="_пр 5 тариф RAB_46EE.2011(v1.0)" xfId="232"/>
    <cellStyle name="_пр 5 тариф RAB_46EE.2011(v1.0)_46TE.2011(v1.0)" xfId="233"/>
    <cellStyle name="_пр 5 тариф RAB_46EE.2011(v1.0)_INDEX.STATION.2012(v1.0)_" xfId="234"/>
    <cellStyle name="_пр 5 тариф RAB_46EE.2011(v1.0)_INDEX.STATION.2012(v2.0)" xfId="235"/>
    <cellStyle name="_пр 5 тариф RAB_46EE.2011(v1.0)_INDEX.STATION.2012(v2.1)" xfId="236"/>
    <cellStyle name="_пр 5 тариф RAB_46EE.2011(v1.0)_TEPLO.PREDEL.2012.M(v1.1)_test" xfId="237"/>
    <cellStyle name="_пр 5 тариф RAB_46EE.2011(v1.2)" xfId="238"/>
    <cellStyle name="_пр 5 тариф RAB_46EP.2012(v0.1)" xfId="239"/>
    <cellStyle name="_пр 5 тариф RAB_46TE.2011(v1.0)" xfId="240"/>
    <cellStyle name="_пр 5 тариф RAB_ARMRAZR" xfId="241"/>
    <cellStyle name="_пр 5 тариф RAB_BALANCE.WARM.2010.FACT(v1.0)" xfId="242"/>
    <cellStyle name="_пр 5 тариф RAB_BALANCE.WARM.2010.PLAN" xfId="243"/>
    <cellStyle name="_пр 5 тариф RAB_BALANCE.WARM.2011YEAR(v0.7)" xfId="244"/>
    <cellStyle name="_пр 5 тариф RAB_BALANCE.WARM.2011YEAR.NEW.UPDATE.SCHEME" xfId="245"/>
    <cellStyle name="_пр 5 тариф RAB_EE.2REK.P2011.4.78(v0.3)" xfId="246"/>
    <cellStyle name="_пр 5 тариф RAB_FORM910.2012(v1.1)" xfId="247"/>
    <cellStyle name="_пр 5 тариф RAB_INVEST.EE.PLAN.4.78(v0.1)" xfId="248"/>
    <cellStyle name="_пр 5 тариф RAB_INVEST.EE.PLAN.4.78(v0.3)" xfId="249"/>
    <cellStyle name="_пр 5 тариф RAB_INVEST.EE.PLAN.4.78(v1.0)" xfId="250"/>
    <cellStyle name="_пр 5 тариф RAB_INVEST.PLAN.4.78(v0.1)" xfId="251"/>
    <cellStyle name="_пр 5 тариф RAB_INVEST.WARM.PLAN.4.78(v0.1)" xfId="252"/>
    <cellStyle name="_пр 5 тариф RAB_INVEST_WARM_PLAN" xfId="253"/>
    <cellStyle name="_пр 5 тариф RAB_NADB.JNVLS.APTEKA.2011(v1.3.3)" xfId="254"/>
    <cellStyle name="_пр 5 тариф RAB_NADB.JNVLS.APTEKA.2011(v1.3.3)_46TE.2011(v1.0)" xfId="255"/>
    <cellStyle name="_пр 5 тариф RAB_NADB.JNVLS.APTEKA.2011(v1.3.3)_INDEX.STATION.2012(v1.0)_" xfId="256"/>
    <cellStyle name="_пр 5 тариф RAB_NADB.JNVLS.APTEKA.2011(v1.3.3)_INDEX.STATION.2012(v2.0)" xfId="257"/>
    <cellStyle name="_пр 5 тариф RAB_NADB.JNVLS.APTEKA.2011(v1.3.3)_INDEX.STATION.2012(v2.1)" xfId="258"/>
    <cellStyle name="_пр 5 тариф RAB_NADB.JNVLS.APTEKA.2011(v1.3.3)_TEPLO.PREDEL.2012.M(v1.1)_test" xfId="259"/>
    <cellStyle name="_пр 5 тариф RAB_NADB.JNVLS.APTEKA.2011(v1.3.4)" xfId="260"/>
    <cellStyle name="_пр 5 тариф RAB_NADB.JNVLS.APTEKA.2011(v1.3.4)_46TE.2011(v1.0)" xfId="261"/>
    <cellStyle name="_пр 5 тариф RAB_NADB.JNVLS.APTEKA.2011(v1.3.4)_INDEX.STATION.2012(v1.0)_" xfId="262"/>
    <cellStyle name="_пр 5 тариф RAB_NADB.JNVLS.APTEKA.2011(v1.3.4)_INDEX.STATION.2012(v2.0)" xfId="263"/>
    <cellStyle name="_пр 5 тариф RAB_NADB.JNVLS.APTEKA.2011(v1.3.4)_INDEX.STATION.2012(v2.1)" xfId="264"/>
    <cellStyle name="_пр 5 тариф RAB_NADB.JNVLS.APTEKA.2011(v1.3.4)_TEPLO.PREDEL.2012.M(v1.1)_test" xfId="265"/>
    <cellStyle name="_пр 5 тариф RAB_PASSPORT.TEPLO.PROIZV(v2.1)" xfId="266"/>
    <cellStyle name="_пр 5 тариф RAB_PR.PROG.WARM.NOTCOMBI.2012.2.16_v1.4(04.04.11) " xfId="267"/>
    <cellStyle name="_пр 5 тариф RAB_PREDEL.JKH.UTV.2011(v1.0.1)" xfId="268"/>
    <cellStyle name="_пр 5 тариф RAB_PREDEL.JKH.UTV.2011(v1.0.1)_46TE.2011(v1.0)" xfId="269"/>
    <cellStyle name="_пр 5 тариф RAB_PREDEL.JKH.UTV.2011(v1.0.1)_INDEX.STATION.2012(v1.0)_" xfId="270"/>
    <cellStyle name="_пр 5 тариф RAB_PREDEL.JKH.UTV.2011(v1.0.1)_INDEX.STATION.2012(v2.0)" xfId="271"/>
    <cellStyle name="_пр 5 тариф RAB_PREDEL.JKH.UTV.2011(v1.0.1)_INDEX.STATION.2012(v2.1)" xfId="272"/>
    <cellStyle name="_пр 5 тариф RAB_PREDEL.JKH.UTV.2011(v1.0.1)_TEPLO.PREDEL.2012.M(v1.1)_test" xfId="273"/>
    <cellStyle name="_пр 5 тариф RAB_PREDEL.JKH.UTV.2011(v1.1)" xfId="274"/>
    <cellStyle name="_пр 5 тариф RAB_REP.BLR.2012(v1.0)" xfId="275"/>
    <cellStyle name="_пр 5 тариф RAB_TEPLO.PREDEL.2012.M(v1.1)" xfId="276"/>
    <cellStyle name="_пр 5 тариф RAB_TEST.TEMPLATE" xfId="277"/>
    <cellStyle name="_пр 5 тариф RAB_UPDATE.46EE.2011.TO.1.1" xfId="278"/>
    <cellStyle name="_пр 5 тариф RAB_UPDATE.46TE.2011.TO.1.1" xfId="279"/>
    <cellStyle name="_пр 5 тариф RAB_UPDATE.46TE.2011.TO.1.2" xfId="280"/>
    <cellStyle name="_пр 5 тариф RAB_UPDATE.BALANCE.WARM.2011YEAR.TO.1.1" xfId="281"/>
    <cellStyle name="_пр 5 тариф RAB_UPDATE.BALANCE.WARM.2011YEAR.TO.1.1_46TE.2011(v1.0)" xfId="282"/>
    <cellStyle name="_пр 5 тариф RAB_UPDATE.BALANCE.WARM.2011YEAR.TO.1.1_INDEX.STATION.2012(v1.0)_" xfId="283"/>
    <cellStyle name="_пр 5 тариф RAB_UPDATE.BALANCE.WARM.2011YEAR.TO.1.1_INDEX.STATION.2012(v2.0)" xfId="284"/>
    <cellStyle name="_пр 5 тариф RAB_UPDATE.BALANCE.WARM.2011YEAR.TO.1.1_INDEX.STATION.2012(v2.1)" xfId="285"/>
    <cellStyle name="_пр 5 тариф RAB_UPDATE.BALANCE.WARM.2011YEAR.TO.1.1_OREP.KU.2011.MONTHLY.02(v1.1)" xfId="286"/>
    <cellStyle name="_пр 5 тариф RAB_UPDATE.BALANCE.WARM.2011YEAR.TO.1.1_TEPLO.PREDEL.2012.M(v1.1)_test" xfId="287"/>
    <cellStyle name="_пр 5 тариф RAB_UPDATE.NADB.JNVLS.APTEKA.2011.TO.1.3.4" xfId="288"/>
    <cellStyle name="_пр 5 тариф RAB_Книга2_PR.PROG.WARM.NOTCOMBI.2012.2.16_v1.4(04.04.11) " xfId="289"/>
    <cellStyle name="_Предожение _ДБП_2009 г ( согласованные БП)  (2)" xfId="290"/>
    <cellStyle name="_Предожение _ДБП_2009 г ( согласованные БП)  (2)_Новая инструкция1_фст" xfId="291"/>
    <cellStyle name="_Приложение 2 0806 факт" xfId="292"/>
    <cellStyle name="_Приложение МТС-3-КС" xfId="293"/>
    <cellStyle name="_Приложение МТС-3-КС_Новая инструкция1_фст" xfId="294"/>
    <cellStyle name="_Приложение-МТС--2-1" xfId="295"/>
    <cellStyle name="_Приложение-МТС--2-1_Новая инструкция1_фст" xfId="296"/>
    <cellStyle name="_Расчет RAB_22072008" xfId="297"/>
    <cellStyle name="_Расчет RAB_22072008 2" xfId="298"/>
    <cellStyle name="_Расчет RAB_22072008 2_OREP.KU.2011.MONTHLY.02(v0.1)" xfId="299"/>
    <cellStyle name="_Расчет RAB_22072008 2_OREP.KU.2011.MONTHLY.02(v0.4)" xfId="300"/>
    <cellStyle name="_Расчет RAB_22072008 2_OREP.KU.2011.MONTHLY.11(v1.4)" xfId="301"/>
    <cellStyle name="_Расчет RAB_22072008 2_UPDATE.OREP.KU.2011.MONTHLY.02.TO.1.2" xfId="302"/>
    <cellStyle name="_Расчет RAB_22072008_46EE.2011(v1.0)" xfId="303"/>
    <cellStyle name="_Расчет RAB_22072008_46EE.2011(v1.0)_46TE.2011(v1.0)" xfId="304"/>
    <cellStyle name="_Расчет RAB_22072008_46EE.2011(v1.0)_INDEX.STATION.2012(v1.0)_" xfId="305"/>
    <cellStyle name="_Расчет RAB_22072008_46EE.2011(v1.0)_INDEX.STATION.2012(v2.0)" xfId="306"/>
    <cellStyle name="_Расчет RAB_22072008_46EE.2011(v1.0)_INDEX.STATION.2012(v2.1)" xfId="307"/>
    <cellStyle name="_Расчет RAB_22072008_46EE.2011(v1.0)_TEPLO.PREDEL.2012.M(v1.1)_test" xfId="308"/>
    <cellStyle name="_Расчет RAB_22072008_46EE.2011(v1.2)" xfId="309"/>
    <cellStyle name="_Расчет RAB_22072008_46EP.2012(v0.1)" xfId="310"/>
    <cellStyle name="_Расчет RAB_22072008_46TE.2011(v1.0)" xfId="311"/>
    <cellStyle name="_Расчет RAB_22072008_ARMRAZR" xfId="312"/>
    <cellStyle name="_Расчет RAB_22072008_BALANCE.WARM.2010.FACT(v1.0)" xfId="313"/>
    <cellStyle name="_Расчет RAB_22072008_BALANCE.WARM.2010.PLAN" xfId="314"/>
    <cellStyle name="_Расчет RAB_22072008_BALANCE.WARM.2011YEAR(v0.7)" xfId="315"/>
    <cellStyle name="_Расчет RAB_22072008_BALANCE.WARM.2011YEAR.NEW.UPDATE.SCHEME" xfId="316"/>
    <cellStyle name="_Расчет RAB_22072008_EE.2REK.P2011.4.78(v0.3)" xfId="317"/>
    <cellStyle name="_Расчет RAB_22072008_FORM910.2012(v1.1)" xfId="318"/>
    <cellStyle name="_Расчет RAB_22072008_INVEST.EE.PLAN.4.78(v0.1)" xfId="319"/>
    <cellStyle name="_Расчет RAB_22072008_INVEST.EE.PLAN.4.78(v0.3)" xfId="320"/>
    <cellStyle name="_Расчет RAB_22072008_INVEST.EE.PLAN.4.78(v1.0)" xfId="321"/>
    <cellStyle name="_Расчет RAB_22072008_INVEST.PLAN.4.78(v0.1)" xfId="322"/>
    <cellStyle name="_Расчет RAB_22072008_INVEST.WARM.PLAN.4.78(v0.1)" xfId="323"/>
    <cellStyle name="_Расчет RAB_22072008_INVEST_WARM_PLAN" xfId="324"/>
    <cellStyle name="_Расчет RAB_22072008_NADB.JNVLS.APTEKA.2011(v1.3.3)" xfId="325"/>
    <cellStyle name="_Расчет RAB_22072008_NADB.JNVLS.APTEKA.2011(v1.3.3)_46TE.2011(v1.0)" xfId="326"/>
    <cellStyle name="_Расчет RAB_22072008_NADB.JNVLS.APTEKA.2011(v1.3.3)_INDEX.STATION.2012(v1.0)_" xfId="327"/>
    <cellStyle name="_Расчет RAB_22072008_NADB.JNVLS.APTEKA.2011(v1.3.3)_INDEX.STATION.2012(v2.0)" xfId="328"/>
    <cellStyle name="_Расчет RAB_22072008_NADB.JNVLS.APTEKA.2011(v1.3.3)_INDEX.STATION.2012(v2.1)" xfId="329"/>
    <cellStyle name="_Расчет RAB_22072008_NADB.JNVLS.APTEKA.2011(v1.3.3)_TEPLO.PREDEL.2012.M(v1.1)_test" xfId="330"/>
    <cellStyle name="_Расчет RAB_22072008_NADB.JNVLS.APTEKA.2011(v1.3.4)" xfId="331"/>
    <cellStyle name="_Расчет RAB_22072008_NADB.JNVLS.APTEKA.2011(v1.3.4)_46TE.2011(v1.0)" xfId="332"/>
    <cellStyle name="_Расчет RAB_22072008_NADB.JNVLS.APTEKA.2011(v1.3.4)_INDEX.STATION.2012(v1.0)_" xfId="333"/>
    <cellStyle name="_Расчет RAB_22072008_NADB.JNVLS.APTEKA.2011(v1.3.4)_INDEX.STATION.2012(v2.0)" xfId="334"/>
    <cellStyle name="_Расчет RAB_22072008_NADB.JNVLS.APTEKA.2011(v1.3.4)_INDEX.STATION.2012(v2.1)" xfId="335"/>
    <cellStyle name="_Расчет RAB_22072008_NADB.JNVLS.APTEKA.2011(v1.3.4)_TEPLO.PREDEL.2012.M(v1.1)_test" xfId="336"/>
    <cellStyle name="_Расчет RAB_22072008_PASSPORT.TEPLO.PROIZV(v2.1)" xfId="337"/>
    <cellStyle name="_Расчет RAB_22072008_PR.PROG.WARM.NOTCOMBI.2012.2.16_v1.4(04.04.11) " xfId="338"/>
    <cellStyle name="_Расчет RAB_22072008_PREDEL.JKH.UTV.2011(v1.0.1)" xfId="339"/>
    <cellStyle name="_Расчет RAB_22072008_PREDEL.JKH.UTV.2011(v1.0.1)_46TE.2011(v1.0)" xfId="340"/>
    <cellStyle name="_Расчет RAB_22072008_PREDEL.JKH.UTV.2011(v1.0.1)_INDEX.STATION.2012(v1.0)_" xfId="341"/>
    <cellStyle name="_Расчет RAB_22072008_PREDEL.JKH.UTV.2011(v1.0.1)_INDEX.STATION.2012(v2.0)" xfId="342"/>
    <cellStyle name="_Расчет RAB_22072008_PREDEL.JKH.UTV.2011(v1.0.1)_INDEX.STATION.2012(v2.1)" xfId="343"/>
    <cellStyle name="_Расчет RAB_22072008_PREDEL.JKH.UTV.2011(v1.0.1)_TEPLO.PREDEL.2012.M(v1.1)_test" xfId="344"/>
    <cellStyle name="_Расчет RAB_22072008_PREDEL.JKH.UTV.2011(v1.1)" xfId="345"/>
    <cellStyle name="_Расчет RAB_22072008_REP.BLR.2012(v1.0)" xfId="346"/>
    <cellStyle name="_Расчет RAB_22072008_TEPLO.PREDEL.2012.M(v1.1)" xfId="347"/>
    <cellStyle name="_Расчет RAB_22072008_TEST.TEMPLATE" xfId="348"/>
    <cellStyle name="_Расчет RAB_22072008_UPDATE.46EE.2011.TO.1.1" xfId="349"/>
    <cellStyle name="_Расчет RAB_22072008_UPDATE.46TE.2011.TO.1.1" xfId="350"/>
    <cellStyle name="_Расчет RAB_22072008_UPDATE.46TE.2011.TO.1.2" xfId="351"/>
    <cellStyle name="_Расчет RAB_22072008_UPDATE.BALANCE.WARM.2011YEAR.TO.1.1" xfId="352"/>
    <cellStyle name="_Расчет RAB_22072008_UPDATE.BALANCE.WARM.2011YEAR.TO.1.1_46TE.2011(v1.0)" xfId="353"/>
    <cellStyle name="_Расчет RAB_22072008_UPDATE.BALANCE.WARM.2011YEAR.TO.1.1_INDEX.STATION.2012(v1.0)_" xfId="354"/>
    <cellStyle name="_Расчет RAB_22072008_UPDATE.BALANCE.WARM.2011YEAR.TO.1.1_INDEX.STATION.2012(v2.0)" xfId="355"/>
    <cellStyle name="_Расчет RAB_22072008_UPDATE.BALANCE.WARM.2011YEAR.TO.1.1_INDEX.STATION.2012(v2.1)" xfId="356"/>
    <cellStyle name="_Расчет RAB_22072008_UPDATE.BALANCE.WARM.2011YEAR.TO.1.1_OREP.KU.2011.MONTHLY.02(v1.1)" xfId="357"/>
    <cellStyle name="_Расчет RAB_22072008_UPDATE.BALANCE.WARM.2011YEAR.TO.1.1_TEPLO.PREDEL.2012.M(v1.1)_test" xfId="358"/>
    <cellStyle name="_Расчет RAB_22072008_UPDATE.NADB.JNVLS.APTEKA.2011.TO.1.3.4" xfId="359"/>
    <cellStyle name="_Расчет RAB_22072008_Книга2_PR.PROG.WARM.NOTCOMBI.2012.2.16_v1.4(04.04.11) " xfId="360"/>
    <cellStyle name="_Расчет RAB_Лен и МОЭСК_с 2010 года_14.04.2009_со сглаж_version 3.0_без ФСК" xfId="361"/>
    <cellStyle name="_Расчет RAB_Лен и МОЭСК_с 2010 года_14.04.2009_со сглаж_version 3.0_без ФСК 2" xfId="362"/>
    <cellStyle name="_Расчет RAB_Лен и МОЭСК_с 2010 года_14.04.2009_со сглаж_version 3.0_без ФСК 2_OREP.KU.2011.MONTHLY.02(v0.1)" xfId="363"/>
    <cellStyle name="_Расчет RAB_Лен и МОЭСК_с 2010 года_14.04.2009_со сглаж_version 3.0_без ФСК 2_OREP.KU.2011.MONTHLY.02(v0.4)" xfId="364"/>
    <cellStyle name="_Расчет RAB_Лен и МОЭСК_с 2010 года_14.04.2009_со сглаж_version 3.0_без ФСК 2_OREP.KU.2011.MONTHLY.11(v1.4)" xfId="365"/>
    <cellStyle name="_Расчет RAB_Лен и МОЭСК_с 2010 года_14.04.2009_со сглаж_version 3.0_без ФСК 2_UPDATE.OREP.KU.2011.MONTHLY.02.TO.1.2" xfId="366"/>
    <cellStyle name="_Расчет RAB_Лен и МОЭСК_с 2010 года_14.04.2009_со сглаж_version 3.0_без ФСК_46EE.2011(v1.0)" xfId="367"/>
    <cellStyle name="_Расчет RAB_Лен и МОЭСК_с 2010 года_14.04.2009_со сглаж_version 3.0_без ФСК_46EE.2011(v1.0)_46TE.2011(v1.0)" xfId="368"/>
    <cellStyle name="_Расчет RAB_Лен и МОЭСК_с 2010 года_14.04.2009_со сглаж_version 3.0_без ФСК_46EE.2011(v1.0)_INDEX.STATION.2012(v1.0)_" xfId="369"/>
    <cellStyle name="_Расчет RAB_Лен и МОЭСК_с 2010 года_14.04.2009_со сглаж_version 3.0_без ФСК_46EE.2011(v1.0)_INDEX.STATION.2012(v2.0)" xfId="370"/>
    <cellStyle name="_Расчет RAB_Лен и МОЭСК_с 2010 года_14.04.2009_со сглаж_version 3.0_без ФСК_46EE.2011(v1.0)_INDEX.STATION.2012(v2.1)" xfId="371"/>
    <cellStyle name="_Расчет RAB_Лен и МОЭСК_с 2010 года_14.04.2009_со сглаж_version 3.0_без ФСК_46EE.2011(v1.0)_TEPLO.PREDEL.2012.M(v1.1)_test" xfId="372"/>
    <cellStyle name="_Расчет RAB_Лен и МОЭСК_с 2010 года_14.04.2009_со сглаж_version 3.0_без ФСК_46EE.2011(v1.2)" xfId="373"/>
    <cellStyle name="_Расчет RAB_Лен и МОЭСК_с 2010 года_14.04.2009_со сглаж_version 3.0_без ФСК_46EP.2012(v0.1)" xfId="374"/>
    <cellStyle name="_Расчет RAB_Лен и МОЭСК_с 2010 года_14.04.2009_со сглаж_version 3.0_без ФСК_46TE.2011(v1.0)" xfId="375"/>
    <cellStyle name="_Расчет RAB_Лен и МОЭСК_с 2010 года_14.04.2009_со сглаж_version 3.0_без ФСК_ARMRAZR" xfId="376"/>
    <cellStyle name="_Расчет RAB_Лен и МОЭСК_с 2010 года_14.04.2009_со сглаж_version 3.0_без ФСК_BALANCE.WARM.2010.FACT(v1.0)" xfId="377"/>
    <cellStyle name="_Расчет RAB_Лен и МОЭСК_с 2010 года_14.04.2009_со сглаж_version 3.0_без ФСК_BALANCE.WARM.2010.PLAN" xfId="378"/>
    <cellStyle name="_Расчет RAB_Лен и МОЭСК_с 2010 года_14.04.2009_со сглаж_version 3.0_без ФСК_BALANCE.WARM.2011YEAR(v0.7)" xfId="379"/>
    <cellStyle name="_Расчет RAB_Лен и МОЭСК_с 2010 года_14.04.2009_со сглаж_version 3.0_без ФСК_BALANCE.WARM.2011YEAR.NEW.UPDATE.SCHEME" xfId="380"/>
    <cellStyle name="_Расчет RAB_Лен и МОЭСК_с 2010 года_14.04.2009_со сглаж_version 3.0_без ФСК_EE.2REK.P2011.4.78(v0.3)" xfId="381"/>
    <cellStyle name="_Расчет RAB_Лен и МОЭСК_с 2010 года_14.04.2009_со сглаж_version 3.0_без ФСК_FORM910.2012(v1.1)" xfId="382"/>
    <cellStyle name="_Расчет RAB_Лен и МОЭСК_с 2010 года_14.04.2009_со сглаж_version 3.0_без ФСК_INVEST.EE.PLAN.4.78(v0.1)" xfId="383"/>
    <cellStyle name="_Расчет RAB_Лен и МОЭСК_с 2010 года_14.04.2009_со сглаж_version 3.0_без ФСК_INVEST.EE.PLAN.4.78(v0.3)" xfId="384"/>
    <cellStyle name="_Расчет RAB_Лен и МОЭСК_с 2010 года_14.04.2009_со сглаж_version 3.0_без ФСК_INVEST.EE.PLAN.4.78(v1.0)" xfId="385"/>
    <cellStyle name="_Расчет RAB_Лен и МОЭСК_с 2010 года_14.04.2009_со сглаж_version 3.0_без ФСК_INVEST.PLAN.4.78(v0.1)" xfId="386"/>
    <cellStyle name="_Расчет RAB_Лен и МОЭСК_с 2010 года_14.04.2009_со сглаж_version 3.0_без ФСК_INVEST.WARM.PLAN.4.78(v0.1)" xfId="387"/>
    <cellStyle name="_Расчет RAB_Лен и МОЭСК_с 2010 года_14.04.2009_со сглаж_version 3.0_без ФСК_INVEST_WARM_PLAN" xfId="388"/>
    <cellStyle name="_Расчет RAB_Лен и МОЭСК_с 2010 года_14.04.2009_со сглаж_version 3.0_без ФСК_NADB.JNVLS.APTEKA.2011(v1.3.3)" xfId="389"/>
    <cellStyle name="_Расчет RAB_Лен и МОЭСК_с 2010 года_14.04.2009_со сглаж_version 3.0_без ФСК_NADB.JNVLS.APTEKA.2011(v1.3.3)_46TE.2011(v1.0)" xfId="390"/>
    <cellStyle name="_Расчет RAB_Лен и МОЭСК_с 2010 года_14.04.2009_со сглаж_version 3.0_без ФСК_NADB.JNVLS.APTEKA.2011(v1.3.3)_INDEX.STATION.2012(v1.0)_" xfId="391"/>
    <cellStyle name="_Расчет RAB_Лен и МОЭСК_с 2010 года_14.04.2009_со сглаж_version 3.0_без ФСК_NADB.JNVLS.APTEKA.2011(v1.3.3)_INDEX.STATION.2012(v2.0)" xfId="392"/>
    <cellStyle name="_Расчет RAB_Лен и МОЭСК_с 2010 года_14.04.2009_со сглаж_version 3.0_без ФСК_NADB.JNVLS.APTEKA.2011(v1.3.3)_INDEX.STATION.2012(v2.1)" xfId="393"/>
    <cellStyle name="_Расчет RAB_Лен и МОЭСК_с 2010 года_14.04.2009_со сглаж_version 3.0_без ФСК_NADB.JNVLS.APTEKA.2011(v1.3.3)_TEPLO.PREDEL.2012.M(v1.1)_test" xfId="394"/>
    <cellStyle name="_Расчет RAB_Лен и МОЭСК_с 2010 года_14.04.2009_со сглаж_version 3.0_без ФСК_NADB.JNVLS.APTEKA.2011(v1.3.4)" xfId="395"/>
    <cellStyle name="_Расчет RAB_Лен и МОЭСК_с 2010 года_14.04.2009_со сглаж_version 3.0_без ФСК_NADB.JNVLS.APTEKA.2011(v1.3.4)_46TE.2011(v1.0)" xfId="396"/>
    <cellStyle name="_Расчет RAB_Лен и МОЭСК_с 2010 года_14.04.2009_со сглаж_version 3.0_без ФСК_NADB.JNVLS.APTEKA.2011(v1.3.4)_INDEX.STATION.2012(v1.0)_" xfId="397"/>
    <cellStyle name="_Расчет RAB_Лен и МОЭСК_с 2010 года_14.04.2009_со сглаж_version 3.0_без ФСК_NADB.JNVLS.APTEKA.2011(v1.3.4)_INDEX.STATION.2012(v2.0)" xfId="398"/>
    <cellStyle name="_Расчет RAB_Лен и МОЭСК_с 2010 года_14.04.2009_со сглаж_version 3.0_без ФСК_NADB.JNVLS.APTEKA.2011(v1.3.4)_INDEX.STATION.2012(v2.1)" xfId="399"/>
    <cellStyle name="_Расчет RAB_Лен и МОЭСК_с 2010 года_14.04.2009_со сглаж_version 3.0_без ФСК_NADB.JNVLS.APTEKA.2011(v1.3.4)_TEPLO.PREDEL.2012.M(v1.1)_test" xfId="400"/>
    <cellStyle name="_Расчет RAB_Лен и МОЭСК_с 2010 года_14.04.2009_со сглаж_version 3.0_без ФСК_PASSPORT.TEPLO.PROIZV(v2.1)" xfId="401"/>
    <cellStyle name="_Расчет RAB_Лен и МОЭСК_с 2010 года_14.04.2009_со сглаж_version 3.0_без ФСК_PR.PROG.WARM.NOTCOMBI.2012.2.16_v1.4(04.04.11) " xfId="402"/>
    <cellStyle name="_Расчет RAB_Лен и МОЭСК_с 2010 года_14.04.2009_со сглаж_version 3.0_без ФСК_PREDEL.JKH.UTV.2011(v1.0.1)" xfId="403"/>
    <cellStyle name="_Расчет RAB_Лен и МОЭСК_с 2010 года_14.04.2009_со сглаж_version 3.0_без ФСК_PREDEL.JKH.UTV.2011(v1.0.1)_46TE.2011(v1.0)" xfId="404"/>
    <cellStyle name="_Расчет RAB_Лен и МОЭСК_с 2010 года_14.04.2009_со сглаж_version 3.0_без ФСК_PREDEL.JKH.UTV.2011(v1.0.1)_INDEX.STATION.2012(v1.0)_" xfId="405"/>
    <cellStyle name="_Расчет RAB_Лен и МОЭСК_с 2010 года_14.04.2009_со сглаж_version 3.0_без ФСК_PREDEL.JKH.UTV.2011(v1.0.1)_INDEX.STATION.2012(v2.0)" xfId="406"/>
    <cellStyle name="_Расчет RAB_Лен и МОЭСК_с 2010 года_14.04.2009_со сглаж_version 3.0_без ФСК_PREDEL.JKH.UTV.2011(v1.0.1)_INDEX.STATION.2012(v2.1)" xfId="407"/>
    <cellStyle name="_Расчет RAB_Лен и МОЭСК_с 2010 года_14.04.2009_со сглаж_version 3.0_без ФСК_PREDEL.JKH.UTV.2011(v1.0.1)_TEPLO.PREDEL.2012.M(v1.1)_test" xfId="408"/>
    <cellStyle name="_Расчет RAB_Лен и МОЭСК_с 2010 года_14.04.2009_со сглаж_version 3.0_без ФСК_PREDEL.JKH.UTV.2011(v1.1)" xfId="409"/>
    <cellStyle name="_Расчет RAB_Лен и МОЭСК_с 2010 года_14.04.2009_со сглаж_version 3.0_без ФСК_REP.BLR.2012(v1.0)" xfId="410"/>
    <cellStyle name="_Расчет RAB_Лен и МОЭСК_с 2010 года_14.04.2009_со сглаж_version 3.0_без ФСК_TEPLO.PREDEL.2012.M(v1.1)" xfId="411"/>
    <cellStyle name="_Расчет RAB_Лен и МОЭСК_с 2010 года_14.04.2009_со сглаж_version 3.0_без ФСК_TEST.TEMPLATE" xfId="412"/>
    <cellStyle name="_Расчет RAB_Лен и МОЭСК_с 2010 года_14.04.2009_со сглаж_version 3.0_без ФСК_UPDATE.46EE.2011.TO.1.1" xfId="413"/>
    <cellStyle name="_Расчет RAB_Лен и МОЭСК_с 2010 года_14.04.2009_со сглаж_version 3.0_без ФСК_UPDATE.46TE.2011.TO.1.1" xfId="414"/>
    <cellStyle name="_Расчет RAB_Лен и МОЭСК_с 2010 года_14.04.2009_со сглаж_version 3.0_без ФСК_UPDATE.46TE.2011.TO.1.2" xfId="415"/>
    <cellStyle name="_Расчет RAB_Лен и МОЭСК_с 2010 года_14.04.2009_со сглаж_version 3.0_без ФСК_UPDATE.BALANCE.WARM.2011YEAR.TO.1.1" xfId="416"/>
    <cellStyle name="_Расчет RAB_Лен и МОЭСК_с 2010 года_14.04.2009_со сглаж_version 3.0_без ФСК_UPDATE.BALANCE.WARM.2011YEAR.TO.1.1_46TE.2011(v1.0)" xfId="417"/>
    <cellStyle name="_Расчет RAB_Лен и МОЭСК_с 2010 года_14.04.2009_со сглаж_version 3.0_без ФСК_UPDATE.BALANCE.WARM.2011YEAR.TO.1.1_INDEX.STATION.2012(v1.0)_" xfId="418"/>
    <cellStyle name="_Расчет RAB_Лен и МОЭСК_с 2010 года_14.04.2009_со сглаж_version 3.0_без ФСК_UPDATE.BALANCE.WARM.2011YEAR.TO.1.1_INDEX.STATION.2012(v2.0)" xfId="419"/>
    <cellStyle name="_Расчет RAB_Лен и МОЭСК_с 2010 года_14.04.2009_со сглаж_version 3.0_без ФСК_UPDATE.BALANCE.WARM.2011YEAR.TO.1.1_INDEX.STATION.2012(v2.1)" xfId="420"/>
    <cellStyle name="_Расчет RAB_Лен и МОЭСК_с 2010 года_14.04.2009_со сглаж_version 3.0_без ФСК_UPDATE.BALANCE.WARM.2011YEAR.TO.1.1_OREP.KU.2011.MONTHLY.02(v1.1)" xfId="421"/>
    <cellStyle name="_Расчет RAB_Лен и МОЭСК_с 2010 года_14.04.2009_со сглаж_version 3.0_без ФСК_UPDATE.BALANCE.WARM.2011YEAR.TO.1.1_TEPLO.PREDEL.2012.M(v1.1)_test" xfId="422"/>
    <cellStyle name="_Расчет RAB_Лен и МОЭСК_с 2010 года_14.04.2009_со сглаж_version 3.0_без ФСК_UPDATE.NADB.JNVLS.APTEKA.2011.TO.1.3.4" xfId="423"/>
    <cellStyle name="_Расчет RAB_Лен и МОЭСК_с 2010 года_14.04.2009_со сглаж_version 3.0_без ФСК_Книга2_PR.PROG.WARM.NOTCOMBI.2012.2.16_v1.4(04.04.11) " xfId="424"/>
    <cellStyle name="_Свод по ИПР (2)" xfId="425"/>
    <cellStyle name="_Свод по ИПР (2)_Новая инструкция1_фст" xfId="426"/>
    <cellStyle name="_Справочник затрат_ЛХ_20.10.05" xfId="427"/>
    <cellStyle name="_таблицы для расчетов28-04-08_2006-2009_прибыль корр_по ИА" xfId="428"/>
    <cellStyle name="_таблицы для расчетов28-04-08_2006-2009_прибыль корр_по ИА_Новая инструкция1_фст" xfId="429"/>
    <cellStyle name="_таблицы для расчетов28-04-08_2006-2009с ИА" xfId="430"/>
    <cellStyle name="_таблицы для расчетов28-04-08_2006-2009с ИА_Новая инструкция1_фст" xfId="431"/>
    <cellStyle name="_Форма 6  РТК.xls(отчет по Адр пр. ЛО)" xfId="432"/>
    <cellStyle name="_Форма 6  РТК.xls(отчет по Адр пр. ЛО)_Новая инструкция1_фст" xfId="433"/>
    <cellStyle name="_Формат разбивки по МРСК_РСК" xfId="434"/>
    <cellStyle name="_Формат разбивки по МРСК_РСК_Новая инструкция1_фст" xfId="435"/>
    <cellStyle name="_Формат_для Согласования" xfId="436"/>
    <cellStyle name="_Формат_для Согласования_Новая инструкция1_фст" xfId="437"/>
    <cellStyle name="_ХХХ Прил 2 Формы бюджетных документов 2007" xfId="438"/>
    <cellStyle name="_экон.форм-т ВО 1 с разбивкой" xfId="439"/>
    <cellStyle name="_экон.форм-т ВО 1 с разбивкой_Новая инструкция1_фст" xfId="440"/>
    <cellStyle name="’К‰Э [0.00]" xfId="441"/>
    <cellStyle name="”€ќђќ‘ћ‚›‰" xfId="442"/>
    <cellStyle name="”€љ‘€ђћ‚ђќќ›‰" xfId="443"/>
    <cellStyle name="”ќђќ‘ћ‚›‰" xfId="444"/>
    <cellStyle name="”љ‘ђћ‚ђќќ›‰" xfId="445"/>
    <cellStyle name="„…ќ…†ќ›‰" xfId="446"/>
    <cellStyle name="€’ћѓћ‚›‰" xfId="447"/>
    <cellStyle name="‡ђѓћ‹ћ‚ћљ1" xfId="448"/>
    <cellStyle name="‡ђѓћ‹ћ‚ћљ2" xfId="449"/>
    <cellStyle name="’ћѓћ‚›‰" xfId="450"/>
    <cellStyle name="1Normal" xfId="451"/>
    <cellStyle name="20% - Accent1" xfId="452"/>
    <cellStyle name="20% - Accent1 2" xfId="453"/>
    <cellStyle name="20% - Accent1 3" xfId="454"/>
    <cellStyle name="20% - Accent1_46EE.2011(v1.0)" xfId="455"/>
    <cellStyle name="20% - Accent2" xfId="456"/>
    <cellStyle name="20% - Accent2 2" xfId="457"/>
    <cellStyle name="20% - Accent2 3" xfId="458"/>
    <cellStyle name="20% - Accent2_46EE.2011(v1.0)" xfId="459"/>
    <cellStyle name="20% - Accent3" xfId="460"/>
    <cellStyle name="20% - Accent3 2" xfId="461"/>
    <cellStyle name="20% - Accent3 3" xfId="462"/>
    <cellStyle name="20% - Accent3_46EE.2011(v1.0)" xfId="463"/>
    <cellStyle name="20% - Accent4" xfId="464"/>
    <cellStyle name="20% - Accent4 2" xfId="465"/>
    <cellStyle name="20% - Accent4 3" xfId="466"/>
    <cellStyle name="20% - Accent4_46EE.2011(v1.0)" xfId="467"/>
    <cellStyle name="20% - Accent5" xfId="468"/>
    <cellStyle name="20% - Accent5 2" xfId="469"/>
    <cellStyle name="20% - Accent5 3" xfId="470"/>
    <cellStyle name="20% - Accent5_46EE.2011(v1.0)" xfId="471"/>
    <cellStyle name="20% - Accent6" xfId="472"/>
    <cellStyle name="20% - Accent6 2" xfId="473"/>
    <cellStyle name="20% - Accent6 3" xfId="474"/>
    <cellStyle name="20% - Accent6_46EE.2011(v1.0)" xfId="475"/>
    <cellStyle name="20% - Акцент1 10" xfId="476"/>
    <cellStyle name="20% - Акцент1 2" xfId="477"/>
    <cellStyle name="20% - Акцент1 2 2" xfId="478"/>
    <cellStyle name="20% - Акцент1 2 3" xfId="479"/>
    <cellStyle name="20% - Акцент1 2_46EE.2011(v1.0)" xfId="480"/>
    <cellStyle name="20% - Акцент1 3" xfId="481"/>
    <cellStyle name="20% - Акцент1 3 2" xfId="482"/>
    <cellStyle name="20% - Акцент1 3 3" xfId="483"/>
    <cellStyle name="20% - Акцент1 3_46EE.2011(v1.0)" xfId="484"/>
    <cellStyle name="20% - Акцент1 4" xfId="485"/>
    <cellStyle name="20% - Акцент1 4 2" xfId="486"/>
    <cellStyle name="20% - Акцент1 4 3" xfId="487"/>
    <cellStyle name="20% - Акцент1 4_46EE.2011(v1.0)" xfId="488"/>
    <cellStyle name="20% - Акцент1 5" xfId="489"/>
    <cellStyle name="20% - Акцент1 5 2" xfId="490"/>
    <cellStyle name="20% - Акцент1 5 3" xfId="491"/>
    <cellStyle name="20% - Акцент1 5_46EE.2011(v1.0)" xfId="492"/>
    <cellStyle name="20% - Акцент1 6" xfId="493"/>
    <cellStyle name="20% - Акцент1 6 2" xfId="494"/>
    <cellStyle name="20% - Акцент1 6 3" xfId="495"/>
    <cellStyle name="20% - Акцент1 6_46EE.2011(v1.0)" xfId="496"/>
    <cellStyle name="20% - Акцент1 7" xfId="497"/>
    <cellStyle name="20% - Акцент1 7 2" xfId="498"/>
    <cellStyle name="20% - Акцент1 7 3" xfId="499"/>
    <cellStyle name="20% - Акцент1 7_46EE.2011(v1.0)" xfId="500"/>
    <cellStyle name="20% - Акцент1 8" xfId="501"/>
    <cellStyle name="20% - Акцент1 8 2" xfId="502"/>
    <cellStyle name="20% - Акцент1 8 3" xfId="503"/>
    <cellStyle name="20% - Акцент1 8_46EE.2011(v1.0)" xfId="504"/>
    <cellStyle name="20% - Акцент1 9" xfId="505"/>
    <cellStyle name="20% - Акцент1 9 2" xfId="506"/>
    <cellStyle name="20% - Акцент1 9 3" xfId="507"/>
    <cellStyle name="20% - Акцент1 9_46EE.2011(v1.0)" xfId="508"/>
    <cellStyle name="20% - Акцент2 10" xfId="509"/>
    <cellStyle name="20% - Акцент2 2" xfId="510"/>
    <cellStyle name="20% - Акцент2 2 2" xfId="511"/>
    <cellStyle name="20% - Акцент2 2 3" xfId="512"/>
    <cellStyle name="20% - Акцент2 2_46EE.2011(v1.0)" xfId="513"/>
    <cellStyle name="20% - Акцент2 3" xfId="514"/>
    <cellStyle name="20% - Акцент2 3 2" xfId="515"/>
    <cellStyle name="20% - Акцент2 3 3" xfId="516"/>
    <cellStyle name="20% - Акцент2 3_46EE.2011(v1.0)" xfId="517"/>
    <cellStyle name="20% - Акцент2 4" xfId="518"/>
    <cellStyle name="20% - Акцент2 4 2" xfId="519"/>
    <cellStyle name="20% - Акцент2 4 3" xfId="520"/>
    <cellStyle name="20% - Акцент2 4_46EE.2011(v1.0)" xfId="521"/>
    <cellStyle name="20% - Акцент2 5" xfId="522"/>
    <cellStyle name="20% - Акцент2 5 2" xfId="523"/>
    <cellStyle name="20% - Акцент2 5 3" xfId="524"/>
    <cellStyle name="20% - Акцент2 5_46EE.2011(v1.0)" xfId="525"/>
    <cellStyle name="20% - Акцент2 6" xfId="526"/>
    <cellStyle name="20% - Акцент2 6 2" xfId="527"/>
    <cellStyle name="20% - Акцент2 6 3" xfId="528"/>
    <cellStyle name="20% - Акцент2 6_46EE.2011(v1.0)" xfId="529"/>
    <cellStyle name="20% - Акцент2 7" xfId="530"/>
    <cellStyle name="20% - Акцент2 7 2" xfId="531"/>
    <cellStyle name="20% - Акцент2 7 3" xfId="532"/>
    <cellStyle name="20% - Акцент2 7_46EE.2011(v1.0)" xfId="533"/>
    <cellStyle name="20% - Акцент2 8" xfId="534"/>
    <cellStyle name="20% - Акцент2 8 2" xfId="535"/>
    <cellStyle name="20% - Акцент2 8 3" xfId="536"/>
    <cellStyle name="20% - Акцент2 8_46EE.2011(v1.0)" xfId="537"/>
    <cellStyle name="20% - Акцент2 9" xfId="538"/>
    <cellStyle name="20% - Акцент2 9 2" xfId="539"/>
    <cellStyle name="20% - Акцент2 9 3" xfId="540"/>
    <cellStyle name="20% - Акцент2 9_46EE.2011(v1.0)" xfId="541"/>
    <cellStyle name="20% - Акцент3 10" xfId="542"/>
    <cellStyle name="20% - Акцент3 2" xfId="543"/>
    <cellStyle name="20% - Акцент3 2 2" xfId="544"/>
    <cellStyle name="20% - Акцент3 2 3" xfId="545"/>
    <cellStyle name="20% - Акцент3 2_46EE.2011(v1.0)" xfId="546"/>
    <cellStyle name="20% - Акцент3 3" xfId="547"/>
    <cellStyle name="20% - Акцент3 3 2" xfId="548"/>
    <cellStyle name="20% - Акцент3 3 3" xfId="549"/>
    <cellStyle name="20% - Акцент3 3_46EE.2011(v1.0)" xfId="550"/>
    <cellStyle name="20% - Акцент3 4" xfId="551"/>
    <cellStyle name="20% - Акцент3 4 2" xfId="552"/>
    <cellStyle name="20% - Акцент3 4 3" xfId="553"/>
    <cellStyle name="20% - Акцент3 4_46EE.2011(v1.0)" xfId="554"/>
    <cellStyle name="20% - Акцент3 5" xfId="555"/>
    <cellStyle name="20% - Акцент3 5 2" xfId="556"/>
    <cellStyle name="20% - Акцент3 5 3" xfId="557"/>
    <cellStyle name="20% - Акцент3 5_46EE.2011(v1.0)" xfId="558"/>
    <cellStyle name="20% - Акцент3 6" xfId="559"/>
    <cellStyle name="20% - Акцент3 6 2" xfId="560"/>
    <cellStyle name="20% - Акцент3 6 3" xfId="561"/>
    <cellStyle name="20% - Акцент3 6_46EE.2011(v1.0)" xfId="562"/>
    <cellStyle name="20% - Акцент3 7" xfId="563"/>
    <cellStyle name="20% - Акцент3 7 2" xfId="564"/>
    <cellStyle name="20% - Акцент3 7 3" xfId="565"/>
    <cellStyle name="20% - Акцент3 7_46EE.2011(v1.0)" xfId="566"/>
    <cellStyle name="20% - Акцент3 8" xfId="567"/>
    <cellStyle name="20% - Акцент3 8 2" xfId="568"/>
    <cellStyle name="20% - Акцент3 8 3" xfId="569"/>
    <cellStyle name="20% - Акцент3 8_46EE.2011(v1.0)" xfId="570"/>
    <cellStyle name="20% - Акцент3 9" xfId="571"/>
    <cellStyle name="20% - Акцент3 9 2" xfId="572"/>
    <cellStyle name="20% - Акцент3 9 3" xfId="573"/>
    <cellStyle name="20% - Акцент3 9_46EE.2011(v1.0)" xfId="574"/>
    <cellStyle name="20% - Акцент4 10" xfId="575"/>
    <cellStyle name="20% - Акцент4 2" xfId="576"/>
    <cellStyle name="20% - Акцент4 2 2" xfId="577"/>
    <cellStyle name="20% - Акцент4 2 3" xfId="578"/>
    <cellStyle name="20% - Акцент4 2_46EE.2011(v1.0)" xfId="579"/>
    <cellStyle name="20% - Акцент4 3" xfId="580"/>
    <cellStyle name="20% - Акцент4 3 2" xfId="581"/>
    <cellStyle name="20% - Акцент4 3 3" xfId="582"/>
    <cellStyle name="20% - Акцент4 3_46EE.2011(v1.0)" xfId="583"/>
    <cellStyle name="20% - Акцент4 4" xfId="584"/>
    <cellStyle name="20% - Акцент4 4 2" xfId="585"/>
    <cellStyle name="20% - Акцент4 4 3" xfId="586"/>
    <cellStyle name="20% - Акцент4 4_46EE.2011(v1.0)" xfId="587"/>
    <cellStyle name="20% - Акцент4 5" xfId="588"/>
    <cellStyle name="20% - Акцент4 5 2" xfId="589"/>
    <cellStyle name="20% - Акцент4 5 3" xfId="590"/>
    <cellStyle name="20% - Акцент4 5_46EE.2011(v1.0)" xfId="591"/>
    <cellStyle name="20% - Акцент4 6" xfId="592"/>
    <cellStyle name="20% - Акцент4 6 2" xfId="593"/>
    <cellStyle name="20% - Акцент4 6 3" xfId="594"/>
    <cellStyle name="20% - Акцент4 6_46EE.2011(v1.0)" xfId="595"/>
    <cellStyle name="20% - Акцент4 7" xfId="596"/>
    <cellStyle name="20% - Акцент4 7 2" xfId="597"/>
    <cellStyle name="20% - Акцент4 7 3" xfId="598"/>
    <cellStyle name="20% - Акцент4 7_46EE.2011(v1.0)" xfId="599"/>
    <cellStyle name="20% - Акцент4 8" xfId="600"/>
    <cellStyle name="20% - Акцент4 8 2" xfId="601"/>
    <cellStyle name="20% - Акцент4 8 3" xfId="602"/>
    <cellStyle name="20% - Акцент4 8_46EE.2011(v1.0)" xfId="603"/>
    <cellStyle name="20% - Акцент4 9" xfId="604"/>
    <cellStyle name="20% - Акцент4 9 2" xfId="605"/>
    <cellStyle name="20% - Акцент4 9 3" xfId="606"/>
    <cellStyle name="20% - Акцент4 9_46EE.2011(v1.0)" xfId="607"/>
    <cellStyle name="20% - Акцент5 10" xfId="608"/>
    <cellStyle name="20% - Акцент5 2" xfId="609"/>
    <cellStyle name="20% - Акцент5 2 2" xfId="610"/>
    <cellStyle name="20% - Акцент5 2 3" xfId="611"/>
    <cellStyle name="20% - Акцент5 2_46EE.2011(v1.0)" xfId="612"/>
    <cellStyle name="20% - Акцент5 3" xfId="613"/>
    <cellStyle name="20% - Акцент5 3 2" xfId="614"/>
    <cellStyle name="20% - Акцент5 3 3" xfId="615"/>
    <cellStyle name="20% - Акцент5 3_46EE.2011(v1.0)" xfId="616"/>
    <cellStyle name="20% - Акцент5 4" xfId="617"/>
    <cellStyle name="20% - Акцент5 4 2" xfId="618"/>
    <cellStyle name="20% - Акцент5 4 3" xfId="619"/>
    <cellStyle name="20% - Акцент5 4_46EE.2011(v1.0)" xfId="620"/>
    <cellStyle name="20% - Акцент5 5" xfId="621"/>
    <cellStyle name="20% - Акцент5 5 2" xfId="622"/>
    <cellStyle name="20% - Акцент5 5 3" xfId="623"/>
    <cellStyle name="20% - Акцент5 5_46EE.2011(v1.0)" xfId="624"/>
    <cellStyle name="20% - Акцент5 6" xfId="625"/>
    <cellStyle name="20% - Акцент5 6 2" xfId="626"/>
    <cellStyle name="20% - Акцент5 6 3" xfId="627"/>
    <cellStyle name="20% - Акцент5 6_46EE.2011(v1.0)" xfId="628"/>
    <cellStyle name="20% - Акцент5 7" xfId="629"/>
    <cellStyle name="20% - Акцент5 7 2" xfId="630"/>
    <cellStyle name="20% - Акцент5 7 3" xfId="631"/>
    <cellStyle name="20% - Акцент5 7_46EE.2011(v1.0)" xfId="632"/>
    <cellStyle name="20% - Акцент5 8" xfId="633"/>
    <cellStyle name="20% - Акцент5 8 2" xfId="634"/>
    <cellStyle name="20% - Акцент5 8 3" xfId="635"/>
    <cellStyle name="20% - Акцент5 8_46EE.2011(v1.0)" xfId="636"/>
    <cellStyle name="20% - Акцент5 9" xfId="637"/>
    <cellStyle name="20% - Акцент5 9 2" xfId="638"/>
    <cellStyle name="20% - Акцент5 9 3" xfId="639"/>
    <cellStyle name="20% - Акцент5 9_46EE.2011(v1.0)" xfId="640"/>
    <cellStyle name="20% - Акцент6 10" xfId="641"/>
    <cellStyle name="20% - Акцент6 2" xfId="642"/>
    <cellStyle name="20% - Акцент6 2 2" xfId="643"/>
    <cellStyle name="20% - Акцент6 2 3" xfId="644"/>
    <cellStyle name="20% - Акцент6 2_46EE.2011(v1.0)" xfId="645"/>
    <cellStyle name="20% - Акцент6 3" xfId="646"/>
    <cellStyle name="20% - Акцент6 3 2" xfId="647"/>
    <cellStyle name="20% - Акцент6 3 3" xfId="648"/>
    <cellStyle name="20% - Акцент6 3_46EE.2011(v1.0)" xfId="649"/>
    <cellStyle name="20% - Акцент6 4" xfId="650"/>
    <cellStyle name="20% - Акцент6 4 2" xfId="651"/>
    <cellStyle name="20% - Акцент6 4 3" xfId="652"/>
    <cellStyle name="20% - Акцент6 4_46EE.2011(v1.0)" xfId="653"/>
    <cellStyle name="20% - Акцент6 5" xfId="654"/>
    <cellStyle name="20% - Акцент6 5 2" xfId="655"/>
    <cellStyle name="20% - Акцент6 5 3" xfId="656"/>
    <cellStyle name="20% - Акцент6 5_46EE.2011(v1.0)" xfId="657"/>
    <cellStyle name="20% - Акцент6 6" xfId="658"/>
    <cellStyle name="20% - Акцент6 6 2" xfId="659"/>
    <cellStyle name="20% - Акцент6 6 3" xfId="660"/>
    <cellStyle name="20% - Акцент6 6_46EE.2011(v1.0)" xfId="661"/>
    <cellStyle name="20% - Акцент6 7" xfId="662"/>
    <cellStyle name="20% - Акцент6 7 2" xfId="663"/>
    <cellStyle name="20% - Акцент6 7 3" xfId="664"/>
    <cellStyle name="20% - Акцент6 7_46EE.2011(v1.0)" xfId="665"/>
    <cellStyle name="20% - Акцент6 8" xfId="666"/>
    <cellStyle name="20% - Акцент6 8 2" xfId="667"/>
    <cellStyle name="20% - Акцент6 8 3" xfId="668"/>
    <cellStyle name="20% - Акцент6 8_46EE.2011(v1.0)" xfId="669"/>
    <cellStyle name="20% - Акцент6 9" xfId="670"/>
    <cellStyle name="20% - Акцент6 9 2" xfId="671"/>
    <cellStyle name="20% - Акцент6 9 3" xfId="672"/>
    <cellStyle name="20% - Акцент6 9_46EE.2011(v1.0)" xfId="673"/>
    <cellStyle name="40% - Accent1" xfId="674"/>
    <cellStyle name="40% - Accent1 2" xfId="675"/>
    <cellStyle name="40% - Accent1 3" xfId="676"/>
    <cellStyle name="40% - Accent1_46EE.2011(v1.0)" xfId="677"/>
    <cellStyle name="40% - Accent2" xfId="678"/>
    <cellStyle name="40% - Accent2 2" xfId="679"/>
    <cellStyle name="40% - Accent2 3" xfId="680"/>
    <cellStyle name="40% - Accent2_46EE.2011(v1.0)" xfId="681"/>
    <cellStyle name="40% - Accent3" xfId="682"/>
    <cellStyle name="40% - Accent3 2" xfId="683"/>
    <cellStyle name="40% - Accent3 3" xfId="684"/>
    <cellStyle name="40% - Accent3_46EE.2011(v1.0)" xfId="685"/>
    <cellStyle name="40% - Accent4" xfId="686"/>
    <cellStyle name="40% - Accent4 2" xfId="687"/>
    <cellStyle name="40% - Accent4 3" xfId="688"/>
    <cellStyle name="40% - Accent4_46EE.2011(v1.0)" xfId="689"/>
    <cellStyle name="40% - Accent5" xfId="690"/>
    <cellStyle name="40% - Accent5 2" xfId="691"/>
    <cellStyle name="40% - Accent5 3" xfId="692"/>
    <cellStyle name="40% - Accent5_46EE.2011(v1.0)" xfId="693"/>
    <cellStyle name="40% - Accent6" xfId="694"/>
    <cellStyle name="40% - Accent6 2" xfId="695"/>
    <cellStyle name="40% - Accent6 3" xfId="696"/>
    <cellStyle name="40% - Accent6_46EE.2011(v1.0)" xfId="697"/>
    <cellStyle name="40% - Акцент1 10" xfId="698"/>
    <cellStyle name="40% - Акцент1 2" xfId="699"/>
    <cellStyle name="40% - Акцент1 2 2" xfId="700"/>
    <cellStyle name="40% - Акцент1 2 3" xfId="701"/>
    <cellStyle name="40% - Акцент1 2_46EE.2011(v1.0)" xfId="702"/>
    <cellStyle name="40% - Акцент1 3" xfId="703"/>
    <cellStyle name="40% - Акцент1 3 2" xfId="704"/>
    <cellStyle name="40% - Акцент1 3 3" xfId="705"/>
    <cellStyle name="40% - Акцент1 3_46EE.2011(v1.0)" xfId="706"/>
    <cellStyle name="40% - Акцент1 4" xfId="707"/>
    <cellStyle name="40% - Акцент1 4 2" xfId="708"/>
    <cellStyle name="40% - Акцент1 4 3" xfId="709"/>
    <cellStyle name="40% - Акцент1 4_46EE.2011(v1.0)" xfId="710"/>
    <cellStyle name="40% - Акцент1 5" xfId="711"/>
    <cellStyle name="40% - Акцент1 5 2" xfId="712"/>
    <cellStyle name="40% - Акцент1 5 3" xfId="713"/>
    <cellStyle name="40% - Акцент1 5_46EE.2011(v1.0)" xfId="714"/>
    <cellStyle name="40% - Акцент1 6" xfId="715"/>
    <cellStyle name="40% - Акцент1 6 2" xfId="716"/>
    <cellStyle name="40% - Акцент1 6 3" xfId="717"/>
    <cellStyle name="40% - Акцент1 6_46EE.2011(v1.0)" xfId="718"/>
    <cellStyle name="40% - Акцент1 7" xfId="719"/>
    <cellStyle name="40% - Акцент1 7 2" xfId="720"/>
    <cellStyle name="40% - Акцент1 7 3" xfId="721"/>
    <cellStyle name="40% - Акцент1 7_46EE.2011(v1.0)" xfId="722"/>
    <cellStyle name="40% - Акцент1 8" xfId="723"/>
    <cellStyle name="40% - Акцент1 8 2" xfId="724"/>
    <cellStyle name="40% - Акцент1 8 3" xfId="725"/>
    <cellStyle name="40% - Акцент1 8_46EE.2011(v1.0)" xfId="726"/>
    <cellStyle name="40% - Акцент1 9" xfId="727"/>
    <cellStyle name="40% - Акцент1 9 2" xfId="728"/>
    <cellStyle name="40% - Акцент1 9 3" xfId="729"/>
    <cellStyle name="40% - Акцент1 9_46EE.2011(v1.0)" xfId="730"/>
    <cellStyle name="40% - Акцент2 10" xfId="731"/>
    <cellStyle name="40% - Акцент2 2" xfId="732"/>
    <cellStyle name="40% - Акцент2 2 2" xfId="733"/>
    <cellStyle name="40% - Акцент2 2 3" xfId="734"/>
    <cellStyle name="40% - Акцент2 2_46EE.2011(v1.0)" xfId="735"/>
    <cellStyle name="40% - Акцент2 3" xfId="736"/>
    <cellStyle name="40% - Акцент2 3 2" xfId="737"/>
    <cellStyle name="40% - Акцент2 3 3" xfId="738"/>
    <cellStyle name="40% - Акцент2 3_46EE.2011(v1.0)" xfId="739"/>
    <cellStyle name="40% - Акцент2 4" xfId="740"/>
    <cellStyle name="40% - Акцент2 4 2" xfId="741"/>
    <cellStyle name="40% - Акцент2 4 3" xfId="742"/>
    <cellStyle name="40% - Акцент2 4_46EE.2011(v1.0)" xfId="743"/>
    <cellStyle name="40% - Акцент2 5" xfId="744"/>
    <cellStyle name="40% - Акцент2 5 2" xfId="745"/>
    <cellStyle name="40% - Акцент2 5 3" xfId="746"/>
    <cellStyle name="40% - Акцент2 5_46EE.2011(v1.0)" xfId="747"/>
    <cellStyle name="40% - Акцент2 6" xfId="748"/>
    <cellStyle name="40% - Акцент2 6 2" xfId="749"/>
    <cellStyle name="40% - Акцент2 6 3" xfId="750"/>
    <cellStyle name="40% - Акцент2 6_46EE.2011(v1.0)" xfId="751"/>
    <cellStyle name="40% - Акцент2 7" xfId="752"/>
    <cellStyle name="40% - Акцент2 7 2" xfId="753"/>
    <cellStyle name="40% - Акцент2 7 3" xfId="754"/>
    <cellStyle name="40% - Акцент2 7_46EE.2011(v1.0)" xfId="755"/>
    <cellStyle name="40% - Акцент2 8" xfId="756"/>
    <cellStyle name="40% - Акцент2 8 2" xfId="757"/>
    <cellStyle name="40% - Акцент2 8 3" xfId="758"/>
    <cellStyle name="40% - Акцент2 8_46EE.2011(v1.0)" xfId="759"/>
    <cellStyle name="40% - Акцент2 9" xfId="760"/>
    <cellStyle name="40% - Акцент2 9 2" xfId="761"/>
    <cellStyle name="40% - Акцент2 9 3" xfId="762"/>
    <cellStyle name="40% - Акцент2 9_46EE.2011(v1.0)" xfId="763"/>
    <cellStyle name="40% - Акцент3 10" xfId="764"/>
    <cellStyle name="40% - Акцент3 2" xfId="765"/>
    <cellStyle name="40% - Акцент3 2 2" xfId="766"/>
    <cellStyle name="40% - Акцент3 2 3" xfId="767"/>
    <cellStyle name="40% - Акцент3 2_46EE.2011(v1.0)" xfId="768"/>
    <cellStyle name="40% - Акцент3 3" xfId="769"/>
    <cellStyle name="40% - Акцент3 3 2" xfId="770"/>
    <cellStyle name="40% - Акцент3 3 3" xfId="771"/>
    <cellStyle name="40% - Акцент3 3_46EE.2011(v1.0)" xfId="772"/>
    <cellStyle name="40% - Акцент3 4" xfId="773"/>
    <cellStyle name="40% - Акцент3 4 2" xfId="774"/>
    <cellStyle name="40% - Акцент3 4 3" xfId="775"/>
    <cellStyle name="40% - Акцент3 4_46EE.2011(v1.0)" xfId="776"/>
    <cellStyle name="40% - Акцент3 5" xfId="777"/>
    <cellStyle name="40% - Акцент3 5 2" xfId="778"/>
    <cellStyle name="40% - Акцент3 5 3" xfId="779"/>
    <cellStyle name="40% - Акцент3 5_46EE.2011(v1.0)" xfId="780"/>
    <cellStyle name="40% - Акцент3 6" xfId="781"/>
    <cellStyle name="40% - Акцент3 6 2" xfId="782"/>
    <cellStyle name="40% - Акцент3 6 3" xfId="783"/>
    <cellStyle name="40% - Акцент3 6_46EE.2011(v1.0)" xfId="784"/>
    <cellStyle name="40% - Акцент3 7" xfId="785"/>
    <cellStyle name="40% - Акцент3 7 2" xfId="786"/>
    <cellStyle name="40% - Акцент3 7 3" xfId="787"/>
    <cellStyle name="40% - Акцент3 7_46EE.2011(v1.0)" xfId="788"/>
    <cellStyle name="40% - Акцент3 8" xfId="789"/>
    <cellStyle name="40% - Акцент3 8 2" xfId="790"/>
    <cellStyle name="40% - Акцент3 8 3" xfId="791"/>
    <cellStyle name="40% - Акцент3 8_46EE.2011(v1.0)" xfId="792"/>
    <cellStyle name="40% - Акцент3 9" xfId="793"/>
    <cellStyle name="40% - Акцент3 9 2" xfId="794"/>
    <cellStyle name="40% - Акцент3 9 3" xfId="795"/>
    <cellStyle name="40% - Акцент3 9_46EE.2011(v1.0)" xfId="796"/>
    <cellStyle name="40% - Акцент4 10" xfId="797"/>
    <cellStyle name="40% - Акцент4 2" xfId="798"/>
    <cellStyle name="40% - Акцент4 2 2" xfId="799"/>
    <cellStyle name="40% - Акцент4 2 3" xfId="800"/>
    <cellStyle name="40% - Акцент4 2_46EE.2011(v1.0)" xfId="801"/>
    <cellStyle name="40% - Акцент4 3" xfId="802"/>
    <cellStyle name="40% - Акцент4 3 2" xfId="803"/>
    <cellStyle name="40% - Акцент4 3 3" xfId="804"/>
    <cellStyle name="40% - Акцент4 3_46EE.2011(v1.0)" xfId="805"/>
    <cellStyle name="40% - Акцент4 4" xfId="806"/>
    <cellStyle name="40% - Акцент4 4 2" xfId="807"/>
    <cellStyle name="40% - Акцент4 4 3" xfId="808"/>
    <cellStyle name="40% - Акцент4 4_46EE.2011(v1.0)" xfId="809"/>
    <cellStyle name="40% - Акцент4 5" xfId="810"/>
    <cellStyle name="40% - Акцент4 5 2" xfId="811"/>
    <cellStyle name="40% - Акцент4 5 3" xfId="812"/>
    <cellStyle name="40% - Акцент4 5_46EE.2011(v1.0)" xfId="813"/>
    <cellStyle name="40% - Акцент4 6" xfId="814"/>
    <cellStyle name="40% - Акцент4 6 2" xfId="815"/>
    <cellStyle name="40% - Акцент4 6 3" xfId="816"/>
    <cellStyle name="40% - Акцент4 6_46EE.2011(v1.0)" xfId="817"/>
    <cellStyle name="40% - Акцент4 7" xfId="818"/>
    <cellStyle name="40% - Акцент4 7 2" xfId="819"/>
    <cellStyle name="40% - Акцент4 7 3" xfId="820"/>
    <cellStyle name="40% - Акцент4 7_46EE.2011(v1.0)" xfId="821"/>
    <cellStyle name="40% - Акцент4 8" xfId="822"/>
    <cellStyle name="40% - Акцент4 8 2" xfId="823"/>
    <cellStyle name="40% - Акцент4 8 3" xfId="824"/>
    <cellStyle name="40% - Акцент4 8_46EE.2011(v1.0)" xfId="825"/>
    <cellStyle name="40% - Акцент4 9" xfId="826"/>
    <cellStyle name="40% - Акцент4 9 2" xfId="827"/>
    <cellStyle name="40% - Акцент4 9 3" xfId="828"/>
    <cellStyle name="40% - Акцент4 9_46EE.2011(v1.0)" xfId="829"/>
    <cellStyle name="40% - Акцент5 10" xfId="830"/>
    <cellStyle name="40% - Акцент5 2" xfId="831"/>
    <cellStyle name="40% - Акцент5 2 2" xfId="832"/>
    <cellStyle name="40% - Акцент5 2 3" xfId="833"/>
    <cellStyle name="40% - Акцент5 2_46EE.2011(v1.0)" xfId="834"/>
    <cellStyle name="40% - Акцент5 3" xfId="835"/>
    <cellStyle name="40% - Акцент5 3 2" xfId="836"/>
    <cellStyle name="40% - Акцент5 3 3" xfId="837"/>
    <cellStyle name="40% - Акцент5 3_46EE.2011(v1.0)" xfId="838"/>
    <cellStyle name="40% - Акцент5 4" xfId="839"/>
    <cellStyle name="40% - Акцент5 4 2" xfId="840"/>
    <cellStyle name="40% - Акцент5 4 3" xfId="841"/>
    <cellStyle name="40% - Акцент5 4_46EE.2011(v1.0)" xfId="842"/>
    <cellStyle name="40% - Акцент5 5" xfId="843"/>
    <cellStyle name="40% - Акцент5 5 2" xfId="844"/>
    <cellStyle name="40% - Акцент5 5 3" xfId="845"/>
    <cellStyle name="40% - Акцент5 5_46EE.2011(v1.0)" xfId="846"/>
    <cellStyle name="40% - Акцент5 6" xfId="847"/>
    <cellStyle name="40% - Акцент5 6 2" xfId="848"/>
    <cellStyle name="40% - Акцент5 6 3" xfId="849"/>
    <cellStyle name="40% - Акцент5 6_46EE.2011(v1.0)" xfId="850"/>
    <cellStyle name="40% - Акцент5 7" xfId="851"/>
    <cellStyle name="40% - Акцент5 7 2" xfId="852"/>
    <cellStyle name="40% - Акцент5 7 3" xfId="853"/>
    <cellStyle name="40% - Акцент5 7_46EE.2011(v1.0)" xfId="854"/>
    <cellStyle name="40% - Акцент5 8" xfId="855"/>
    <cellStyle name="40% - Акцент5 8 2" xfId="856"/>
    <cellStyle name="40% - Акцент5 8 3" xfId="857"/>
    <cellStyle name="40% - Акцент5 8_46EE.2011(v1.0)" xfId="858"/>
    <cellStyle name="40% - Акцент5 9" xfId="859"/>
    <cellStyle name="40% - Акцент5 9 2" xfId="860"/>
    <cellStyle name="40% - Акцент5 9 3" xfId="861"/>
    <cellStyle name="40% - Акцент5 9_46EE.2011(v1.0)" xfId="862"/>
    <cellStyle name="40% - Акцент6 10" xfId="863"/>
    <cellStyle name="40% - Акцент6 2" xfId="864"/>
    <cellStyle name="40% - Акцент6 2 2" xfId="865"/>
    <cellStyle name="40% - Акцент6 2 3" xfId="866"/>
    <cellStyle name="40% - Акцент6 2_46EE.2011(v1.0)" xfId="867"/>
    <cellStyle name="40% - Акцент6 3" xfId="868"/>
    <cellStyle name="40% - Акцент6 3 2" xfId="869"/>
    <cellStyle name="40% - Акцент6 3 3" xfId="870"/>
    <cellStyle name="40% - Акцент6 3_46EE.2011(v1.0)" xfId="871"/>
    <cellStyle name="40% - Акцент6 4" xfId="872"/>
    <cellStyle name="40% - Акцент6 4 2" xfId="873"/>
    <cellStyle name="40% - Акцент6 4 3" xfId="874"/>
    <cellStyle name="40% - Акцент6 4_46EE.2011(v1.0)" xfId="875"/>
    <cellStyle name="40% - Акцент6 5" xfId="876"/>
    <cellStyle name="40% - Акцент6 5 2" xfId="877"/>
    <cellStyle name="40% - Акцент6 5 3" xfId="878"/>
    <cellStyle name="40% - Акцент6 5_46EE.2011(v1.0)" xfId="879"/>
    <cellStyle name="40% - Акцент6 6" xfId="880"/>
    <cellStyle name="40% - Акцент6 6 2" xfId="881"/>
    <cellStyle name="40% - Акцент6 6 3" xfId="882"/>
    <cellStyle name="40% - Акцент6 6_46EE.2011(v1.0)" xfId="883"/>
    <cellStyle name="40% - Акцент6 7" xfId="884"/>
    <cellStyle name="40% - Акцент6 7 2" xfId="885"/>
    <cellStyle name="40% - Акцент6 7 3" xfId="886"/>
    <cellStyle name="40% - Акцент6 7_46EE.2011(v1.0)" xfId="887"/>
    <cellStyle name="40% - Акцент6 8" xfId="888"/>
    <cellStyle name="40% - Акцент6 8 2" xfId="889"/>
    <cellStyle name="40% - Акцент6 8 3" xfId="890"/>
    <cellStyle name="40% - Акцент6 8_46EE.2011(v1.0)" xfId="891"/>
    <cellStyle name="40% - Акцент6 9" xfId="892"/>
    <cellStyle name="40% - Акцент6 9 2" xfId="893"/>
    <cellStyle name="40% - Акцент6 9 3" xfId="894"/>
    <cellStyle name="40% - Акцент6 9_46EE.2011(v1.0)" xfId="895"/>
    <cellStyle name="60% - Accent1" xfId="896"/>
    <cellStyle name="60% - Accent2" xfId="897"/>
    <cellStyle name="60% - Accent3" xfId="898"/>
    <cellStyle name="60% - Accent4" xfId="899"/>
    <cellStyle name="60% - Accent5" xfId="900"/>
    <cellStyle name="60% - Accent6" xfId="901"/>
    <cellStyle name="60% - Акцент1 2" xfId="902"/>
    <cellStyle name="60% - Акцент1 2 2" xfId="903"/>
    <cellStyle name="60% - Акцент1 3" xfId="904"/>
    <cellStyle name="60% - Акцент1 3 2" xfId="905"/>
    <cellStyle name="60% - Акцент1 4" xfId="906"/>
    <cellStyle name="60% - Акцент1 4 2" xfId="907"/>
    <cellStyle name="60% - Акцент1 5" xfId="908"/>
    <cellStyle name="60% - Акцент1 5 2" xfId="909"/>
    <cellStyle name="60% - Акцент1 6" xfId="910"/>
    <cellStyle name="60% - Акцент1 6 2" xfId="911"/>
    <cellStyle name="60% - Акцент1 7" xfId="912"/>
    <cellStyle name="60% - Акцент1 7 2" xfId="913"/>
    <cellStyle name="60% - Акцент1 8" xfId="914"/>
    <cellStyle name="60% - Акцент1 8 2" xfId="915"/>
    <cellStyle name="60% - Акцент1 9" xfId="916"/>
    <cellStyle name="60% - Акцент1 9 2" xfId="917"/>
    <cellStyle name="60% - Акцент2 2" xfId="918"/>
    <cellStyle name="60% - Акцент2 2 2" xfId="919"/>
    <cellStyle name="60% - Акцент2 3" xfId="920"/>
    <cellStyle name="60% - Акцент2 3 2" xfId="921"/>
    <cellStyle name="60% - Акцент2 4" xfId="922"/>
    <cellStyle name="60% - Акцент2 4 2" xfId="923"/>
    <cellStyle name="60% - Акцент2 5" xfId="924"/>
    <cellStyle name="60% - Акцент2 5 2" xfId="925"/>
    <cellStyle name="60% - Акцент2 6" xfId="926"/>
    <cellStyle name="60% - Акцент2 6 2" xfId="927"/>
    <cellStyle name="60% - Акцент2 7" xfId="928"/>
    <cellStyle name="60% - Акцент2 7 2" xfId="929"/>
    <cellStyle name="60% - Акцент2 8" xfId="930"/>
    <cellStyle name="60% - Акцент2 8 2" xfId="931"/>
    <cellStyle name="60% - Акцент2 9" xfId="932"/>
    <cellStyle name="60% - Акцент2 9 2" xfId="933"/>
    <cellStyle name="60% - Акцент3 2" xfId="934"/>
    <cellStyle name="60% - Акцент3 2 2" xfId="935"/>
    <cellStyle name="60% - Акцент3 3" xfId="936"/>
    <cellStyle name="60% - Акцент3 3 2" xfId="937"/>
    <cellStyle name="60% - Акцент3 4" xfId="938"/>
    <cellStyle name="60% - Акцент3 4 2" xfId="939"/>
    <cellStyle name="60% - Акцент3 5" xfId="940"/>
    <cellStyle name="60% - Акцент3 5 2" xfId="941"/>
    <cellStyle name="60% - Акцент3 6" xfId="942"/>
    <cellStyle name="60% - Акцент3 6 2" xfId="943"/>
    <cellStyle name="60% - Акцент3 7" xfId="944"/>
    <cellStyle name="60% - Акцент3 7 2" xfId="945"/>
    <cellStyle name="60% - Акцент3 8" xfId="946"/>
    <cellStyle name="60% - Акцент3 8 2" xfId="947"/>
    <cellStyle name="60% - Акцент3 9" xfId="948"/>
    <cellStyle name="60% - Акцент3 9 2" xfId="949"/>
    <cellStyle name="60% - Акцент4 2" xfId="950"/>
    <cellStyle name="60% - Акцент4 2 2" xfId="951"/>
    <cellStyle name="60% - Акцент4 3" xfId="952"/>
    <cellStyle name="60% - Акцент4 3 2" xfId="953"/>
    <cellStyle name="60% - Акцент4 4" xfId="954"/>
    <cellStyle name="60% - Акцент4 4 2" xfId="955"/>
    <cellStyle name="60% - Акцент4 5" xfId="956"/>
    <cellStyle name="60% - Акцент4 5 2" xfId="957"/>
    <cellStyle name="60% - Акцент4 6" xfId="958"/>
    <cellStyle name="60% - Акцент4 6 2" xfId="959"/>
    <cellStyle name="60% - Акцент4 7" xfId="960"/>
    <cellStyle name="60% - Акцент4 7 2" xfId="961"/>
    <cellStyle name="60% - Акцент4 8" xfId="962"/>
    <cellStyle name="60% - Акцент4 8 2" xfId="963"/>
    <cellStyle name="60% - Акцент4 9" xfId="964"/>
    <cellStyle name="60% - Акцент4 9 2" xfId="965"/>
    <cellStyle name="60% - Акцент5 2" xfId="966"/>
    <cellStyle name="60% - Акцент5 2 2" xfId="967"/>
    <cellStyle name="60% - Акцент5 3" xfId="968"/>
    <cellStyle name="60% - Акцент5 3 2" xfId="969"/>
    <cellStyle name="60% - Акцент5 4" xfId="970"/>
    <cellStyle name="60% - Акцент5 4 2" xfId="971"/>
    <cellStyle name="60% - Акцент5 5" xfId="972"/>
    <cellStyle name="60% - Акцент5 5 2" xfId="973"/>
    <cellStyle name="60% - Акцент5 6" xfId="974"/>
    <cellStyle name="60% - Акцент5 6 2" xfId="975"/>
    <cellStyle name="60% - Акцент5 7" xfId="976"/>
    <cellStyle name="60% - Акцент5 7 2" xfId="977"/>
    <cellStyle name="60% - Акцент5 8" xfId="978"/>
    <cellStyle name="60% - Акцент5 8 2" xfId="979"/>
    <cellStyle name="60% - Акцент5 9" xfId="980"/>
    <cellStyle name="60% - Акцент5 9 2" xfId="981"/>
    <cellStyle name="60% - Акцент6 2" xfId="982"/>
    <cellStyle name="60% - Акцент6 2 2" xfId="983"/>
    <cellStyle name="60% - Акцент6 3" xfId="984"/>
    <cellStyle name="60% - Акцент6 3 2" xfId="985"/>
    <cellStyle name="60% - Акцент6 4" xfId="986"/>
    <cellStyle name="60% - Акцент6 4 2" xfId="987"/>
    <cellStyle name="60% - Акцент6 5" xfId="988"/>
    <cellStyle name="60% - Акцент6 5 2" xfId="989"/>
    <cellStyle name="60% - Акцент6 6" xfId="990"/>
    <cellStyle name="60% - Акцент6 6 2" xfId="991"/>
    <cellStyle name="60% - Акцент6 7" xfId="992"/>
    <cellStyle name="60% - Акцент6 7 2" xfId="993"/>
    <cellStyle name="60% - Акцент6 8" xfId="994"/>
    <cellStyle name="60% - Акцент6 8 2" xfId="995"/>
    <cellStyle name="60% - Акцент6 9" xfId="996"/>
    <cellStyle name="60% - Акцент6 9 2" xfId="997"/>
    <cellStyle name="Accent1" xfId="998"/>
    <cellStyle name="Accent2" xfId="999"/>
    <cellStyle name="Accent3" xfId="1000"/>
    <cellStyle name="Accent4" xfId="1001"/>
    <cellStyle name="Accent5" xfId="1002"/>
    <cellStyle name="Accent6" xfId="1003"/>
    <cellStyle name="Ăčďĺđńńűëęŕ" xfId="1004"/>
    <cellStyle name="AFE" xfId="1005"/>
    <cellStyle name="Áĺççŕůčňíűé" xfId="1006"/>
    <cellStyle name="Äĺíĺćíűé [0]_(ňŕá 3č)" xfId="1007"/>
    <cellStyle name="Äĺíĺćíűé_(ňŕá 3č)" xfId="1008"/>
    <cellStyle name="Bad" xfId="1009"/>
    <cellStyle name="Blue" xfId="1010"/>
    <cellStyle name="Body_$Dollars" xfId="1011"/>
    <cellStyle name="Calculation" xfId="1012"/>
    <cellStyle name="Cells 2" xfId="1013"/>
    <cellStyle name="Check Cell" xfId="1014"/>
    <cellStyle name="Chek" xfId="1015"/>
    <cellStyle name="Comma [0]_Adjusted FS 1299" xfId="1016"/>
    <cellStyle name="Comma 0" xfId="1017"/>
    <cellStyle name="Comma 0*" xfId="1018"/>
    <cellStyle name="Comma 2" xfId="1019"/>
    <cellStyle name="Comma 3*" xfId="1020"/>
    <cellStyle name="Comma_Adjusted FS 1299" xfId="1021"/>
    <cellStyle name="Comma0" xfId="1022"/>
    <cellStyle name="Çŕůčňíűé" xfId="1023"/>
    <cellStyle name="Currency [0]" xfId="1024"/>
    <cellStyle name="Currency [0] 2" xfId="1025"/>
    <cellStyle name="Currency [0] 2 2" xfId="1026"/>
    <cellStyle name="Currency [0] 2 3" xfId="1027"/>
    <cellStyle name="Currency [0] 2 4" xfId="1028"/>
    <cellStyle name="Currency [0] 2 5" xfId="1029"/>
    <cellStyle name="Currency [0] 2 6" xfId="1030"/>
    <cellStyle name="Currency [0] 2 7" xfId="1031"/>
    <cellStyle name="Currency [0] 2 8" xfId="1032"/>
    <cellStyle name="Currency [0] 2 9" xfId="1033"/>
    <cellStyle name="Currency [0] 3" xfId="1034"/>
    <cellStyle name="Currency [0] 3 2" xfId="1035"/>
    <cellStyle name="Currency [0] 3 3" xfId="1036"/>
    <cellStyle name="Currency [0] 3 4" xfId="1037"/>
    <cellStyle name="Currency [0] 3 5" xfId="1038"/>
    <cellStyle name="Currency [0] 3 6" xfId="1039"/>
    <cellStyle name="Currency [0] 3 7" xfId="1040"/>
    <cellStyle name="Currency [0] 3 8" xfId="1041"/>
    <cellStyle name="Currency [0] 3 9" xfId="1042"/>
    <cellStyle name="Currency [0] 4" xfId="1043"/>
    <cellStyle name="Currency [0] 4 2" xfId="1044"/>
    <cellStyle name="Currency [0] 4 3" xfId="1045"/>
    <cellStyle name="Currency [0] 4 4" xfId="1046"/>
    <cellStyle name="Currency [0] 4 5" xfId="1047"/>
    <cellStyle name="Currency [0] 4 6" xfId="1048"/>
    <cellStyle name="Currency [0] 4 7" xfId="1049"/>
    <cellStyle name="Currency [0] 4 8" xfId="1050"/>
    <cellStyle name="Currency [0] 4 9" xfId="1051"/>
    <cellStyle name="Currency [0] 5" xfId="1052"/>
    <cellStyle name="Currency [0] 5 2" xfId="1053"/>
    <cellStyle name="Currency [0] 5 3" xfId="1054"/>
    <cellStyle name="Currency [0] 5 4" xfId="1055"/>
    <cellStyle name="Currency [0] 5 5" xfId="1056"/>
    <cellStyle name="Currency [0] 5 6" xfId="1057"/>
    <cellStyle name="Currency [0] 5 7" xfId="1058"/>
    <cellStyle name="Currency [0] 5 8" xfId="1059"/>
    <cellStyle name="Currency [0] 5 9" xfId="1060"/>
    <cellStyle name="Currency [0] 6" xfId="1061"/>
    <cellStyle name="Currency [0] 6 2" xfId="1062"/>
    <cellStyle name="Currency [0] 6 3" xfId="1063"/>
    <cellStyle name="Currency [0] 7" xfId="1064"/>
    <cellStyle name="Currency [0] 7 2" xfId="1065"/>
    <cellStyle name="Currency [0] 7 3" xfId="1066"/>
    <cellStyle name="Currency [0] 8" xfId="1067"/>
    <cellStyle name="Currency [0] 8 2" xfId="1068"/>
    <cellStyle name="Currency [0] 8 3" xfId="1069"/>
    <cellStyle name="Currency 0" xfId="1070"/>
    <cellStyle name="Currency 2" xfId="1071"/>
    <cellStyle name="Currency_06_9m" xfId="1072"/>
    <cellStyle name="Currency0" xfId="1073"/>
    <cellStyle name="Currency2" xfId="1074"/>
    <cellStyle name="Date" xfId="1075"/>
    <cellStyle name="Date Aligned" xfId="1076"/>
    <cellStyle name="Dates" xfId="1077"/>
    <cellStyle name="Dezimal [0]_NEGS" xfId="1078"/>
    <cellStyle name="Dezimal_NEGS" xfId="1079"/>
    <cellStyle name="Dotted Line" xfId="1080"/>
    <cellStyle name="E&amp;Y House" xfId="1081"/>
    <cellStyle name="E-mail" xfId="1082"/>
    <cellStyle name="E-mail 2" xfId="1083"/>
    <cellStyle name="E-mail_46EP.2012(v0.1)" xfId="1084"/>
    <cellStyle name="Euro" xfId="1085"/>
    <cellStyle name="ew" xfId="1086"/>
    <cellStyle name="Explanatory Text" xfId="1087"/>
    <cellStyle name="F2" xfId="1088"/>
    <cellStyle name="F3" xfId="1089"/>
    <cellStyle name="F4" xfId="1090"/>
    <cellStyle name="F5" xfId="1091"/>
    <cellStyle name="F6" xfId="1092"/>
    <cellStyle name="F7" xfId="1093"/>
    <cellStyle name="F8" xfId="1094"/>
    <cellStyle name="Fixed" xfId="1095"/>
    <cellStyle name="fo]_x000d__x000a_UserName=Murat Zelef_x000d__x000a_UserCompany=Bumerang_x000d__x000a__x000d__x000a_[File Paths]_x000d__x000a_WorkingDirectory=C:\EQUIS\DLWIN_x000d__x000a_DownLoader=C" xfId="1096"/>
    <cellStyle name="Followed Hyperlink" xfId="1097"/>
    <cellStyle name="Footnote" xfId="1098"/>
    <cellStyle name="Good" xfId="1099"/>
    <cellStyle name="hard no" xfId="1100"/>
    <cellStyle name="Hard Percent" xfId="1101"/>
    <cellStyle name="hardno" xfId="1102"/>
    <cellStyle name="Header" xfId="1103"/>
    <cellStyle name="Header 3" xfId="1104"/>
    <cellStyle name="Heading" xfId="1105"/>
    <cellStyle name="Heading 1" xfId="1106"/>
    <cellStyle name="Heading 2" xfId="1107"/>
    <cellStyle name="Heading 3" xfId="1108"/>
    <cellStyle name="Heading 4" xfId="1109"/>
    <cellStyle name="Heading_GP.ITOG.4.78(v1.0) - для разделения" xfId="1110"/>
    <cellStyle name="Heading2" xfId="1111"/>
    <cellStyle name="Heading2 2" xfId="1112"/>
    <cellStyle name="Heading2_46EP.2012(v0.1)" xfId="1113"/>
    <cellStyle name="Hyperlink" xfId="1114"/>
    <cellStyle name="Îáű÷íűé__FES" xfId="1115"/>
    <cellStyle name="Îáû÷íûé_cogs" xfId="1116"/>
    <cellStyle name="Îňęđűâŕâřŕ˙ń˙ ăčďĺđńńűëęŕ" xfId="1117"/>
    <cellStyle name="Info" xfId="1118"/>
    <cellStyle name="Input" xfId="1119"/>
    <cellStyle name="InputCurrency" xfId="1120"/>
    <cellStyle name="InputCurrency2" xfId="1121"/>
    <cellStyle name="InputMultiple1" xfId="1122"/>
    <cellStyle name="InputPercent1" xfId="1123"/>
    <cellStyle name="Inputs" xfId="1124"/>
    <cellStyle name="Inputs (const)" xfId="1125"/>
    <cellStyle name="Inputs (const) 2" xfId="1126"/>
    <cellStyle name="Inputs (const)_46EP.2012(v0.1)" xfId="1127"/>
    <cellStyle name="Inputs 2" xfId="1128"/>
    <cellStyle name="Inputs Co" xfId="1129"/>
    <cellStyle name="Inputs_46EE.2011(v1.0)" xfId="1130"/>
    <cellStyle name="Linked Cell" xfId="1131"/>
    <cellStyle name="Millares [0]_RESULTS" xfId="1132"/>
    <cellStyle name="Millares_RESULTS" xfId="1133"/>
    <cellStyle name="Milliers [0]_RESULTS" xfId="1134"/>
    <cellStyle name="Milliers_RESULTS" xfId="1135"/>
    <cellStyle name="mnb" xfId="1136"/>
    <cellStyle name="Moneda [0]_RESULTS" xfId="1137"/>
    <cellStyle name="Moneda_RESULTS" xfId="1138"/>
    <cellStyle name="Monétaire [0]_RESULTS" xfId="1139"/>
    <cellStyle name="Monétaire_RESULTS" xfId="1140"/>
    <cellStyle name="Multiple" xfId="1141"/>
    <cellStyle name="Multiple1" xfId="1142"/>
    <cellStyle name="MultipleBelow" xfId="1143"/>
    <cellStyle name="namber" xfId="1144"/>
    <cellStyle name="Neutral" xfId="1145"/>
    <cellStyle name="Norma11l" xfId="1146"/>
    <cellStyle name="normal" xfId="1147"/>
    <cellStyle name="Normal - Style1" xfId="1148"/>
    <cellStyle name="normal 10" xfId="1149"/>
    <cellStyle name="Normal 2" xfId="1150"/>
    <cellStyle name="Normal 2 2" xfId="1151"/>
    <cellStyle name="Normal 2 3" xfId="1152"/>
    <cellStyle name="normal 3" xfId="1153"/>
    <cellStyle name="normal 4" xfId="1154"/>
    <cellStyle name="normal 5" xfId="1155"/>
    <cellStyle name="normal 6" xfId="1156"/>
    <cellStyle name="normal 7" xfId="1157"/>
    <cellStyle name="normal 8" xfId="1158"/>
    <cellStyle name="normal 9" xfId="1159"/>
    <cellStyle name="Normal." xfId="1160"/>
    <cellStyle name="Normal_06_9m" xfId="1161"/>
    <cellStyle name="Normal1" xfId="1162"/>
    <cellStyle name="Normal2" xfId="1163"/>
    <cellStyle name="NormalGB" xfId="1164"/>
    <cellStyle name="Normalny_24. 02. 97." xfId="1165"/>
    <cellStyle name="normбlnм_laroux" xfId="1166"/>
    <cellStyle name="Note" xfId="1167"/>
    <cellStyle name="number" xfId="1168"/>
    <cellStyle name="Ôčíŕíńîâűé [0]_(ňŕá 3č)" xfId="1169"/>
    <cellStyle name="Ôčíŕíńîâűé_(ňŕá 3č)" xfId="1170"/>
    <cellStyle name="Option" xfId="1171"/>
    <cellStyle name="Òûñÿ÷è [0]_cogs" xfId="1172"/>
    <cellStyle name="Òûñÿ÷è_cogs" xfId="1173"/>
    <cellStyle name="Output" xfId="1174"/>
    <cellStyle name="Page Number" xfId="1175"/>
    <cellStyle name="pb_page_heading_LS" xfId="1176"/>
    <cellStyle name="Percent_RS_Lianozovo-Samara_9m01" xfId="1177"/>
    <cellStyle name="Percent1" xfId="1178"/>
    <cellStyle name="Piug" xfId="1179"/>
    <cellStyle name="Plug" xfId="1180"/>
    <cellStyle name="Price_Body" xfId="1181"/>
    <cellStyle name="prochrek" xfId="1182"/>
    <cellStyle name="Protected" xfId="1183"/>
    <cellStyle name="Salomon Logo" xfId="1184"/>
    <cellStyle name="SAPBEXaggData" xfId="1185"/>
    <cellStyle name="SAPBEXaggDataEmph" xfId="1186"/>
    <cellStyle name="SAPBEXaggItem" xfId="1187"/>
    <cellStyle name="SAPBEXaggItemX" xfId="1188"/>
    <cellStyle name="SAPBEXchaText" xfId="1189"/>
    <cellStyle name="SAPBEXexcBad7" xfId="1190"/>
    <cellStyle name="SAPBEXexcBad8" xfId="1191"/>
    <cellStyle name="SAPBEXexcBad9" xfId="1192"/>
    <cellStyle name="SAPBEXexcCritical4" xfId="1193"/>
    <cellStyle name="SAPBEXexcCritical5" xfId="1194"/>
    <cellStyle name="SAPBEXexcCritical6" xfId="1195"/>
    <cellStyle name="SAPBEXexcGood1" xfId="1196"/>
    <cellStyle name="SAPBEXexcGood2" xfId="1197"/>
    <cellStyle name="SAPBEXexcGood3" xfId="1198"/>
    <cellStyle name="SAPBEXfilterDrill" xfId="1199"/>
    <cellStyle name="SAPBEXfilterItem" xfId="1200"/>
    <cellStyle name="SAPBEXfilterText" xfId="1201"/>
    <cellStyle name="SAPBEXformats" xfId="1202"/>
    <cellStyle name="SAPBEXheaderItem" xfId="1203"/>
    <cellStyle name="SAPBEXheaderText" xfId="1204"/>
    <cellStyle name="SAPBEXHLevel0" xfId="1205"/>
    <cellStyle name="SAPBEXHLevel0X" xfId="1206"/>
    <cellStyle name="SAPBEXHLevel1" xfId="1207"/>
    <cellStyle name="SAPBEXHLevel1X" xfId="1208"/>
    <cellStyle name="SAPBEXHLevel2" xfId="1209"/>
    <cellStyle name="SAPBEXHLevel2X" xfId="1210"/>
    <cellStyle name="SAPBEXHLevel3" xfId="1211"/>
    <cellStyle name="SAPBEXHLevel3X" xfId="1212"/>
    <cellStyle name="SAPBEXinputData" xfId="1213"/>
    <cellStyle name="SAPBEXresData" xfId="1214"/>
    <cellStyle name="SAPBEXresDataEmph" xfId="1215"/>
    <cellStyle name="SAPBEXresItem" xfId="1216"/>
    <cellStyle name="SAPBEXresItemX" xfId="1217"/>
    <cellStyle name="SAPBEXstdData" xfId="1218"/>
    <cellStyle name="SAPBEXstdDataEmph" xfId="1219"/>
    <cellStyle name="SAPBEXstdItem" xfId="1220"/>
    <cellStyle name="SAPBEXstdItemX" xfId="1221"/>
    <cellStyle name="SAPBEXtitle" xfId="1222"/>
    <cellStyle name="SAPBEXundefined" xfId="1223"/>
    <cellStyle name="st1" xfId="1224"/>
    <cellStyle name="Standard_NEGS" xfId="1225"/>
    <cellStyle name="Style 1" xfId="1226"/>
    <cellStyle name="Table Head" xfId="1227"/>
    <cellStyle name="Table Head Aligned" xfId="1228"/>
    <cellStyle name="Table Head Blue" xfId="1229"/>
    <cellStyle name="Table Head Green" xfId="1230"/>
    <cellStyle name="Table Head_Val_Sum_Graph" xfId="1231"/>
    <cellStyle name="Table Heading" xfId="1232"/>
    <cellStyle name="Table Heading 2" xfId="1233"/>
    <cellStyle name="Table Heading_46EP.2012(v0.1)" xfId="1234"/>
    <cellStyle name="Table Text" xfId="1235"/>
    <cellStyle name="Table Title" xfId="1236"/>
    <cellStyle name="Table Units" xfId="1237"/>
    <cellStyle name="Table_Header" xfId="1238"/>
    <cellStyle name="Text" xfId="1239"/>
    <cellStyle name="Text 1" xfId="1240"/>
    <cellStyle name="Text Head" xfId="1241"/>
    <cellStyle name="Text Head 1" xfId="1242"/>
    <cellStyle name="Title" xfId="1243"/>
    <cellStyle name="Title 4" xfId="1244"/>
    <cellStyle name="Total" xfId="1245"/>
    <cellStyle name="TotalCurrency" xfId="1246"/>
    <cellStyle name="Underline_Single" xfId="1247"/>
    <cellStyle name="Unit" xfId="1248"/>
    <cellStyle name="Warning Text" xfId="1249"/>
    <cellStyle name="year" xfId="1250"/>
    <cellStyle name="Акцент1 2" xfId="1251"/>
    <cellStyle name="Акцент1 2 2" xfId="1252"/>
    <cellStyle name="Акцент1 3" xfId="1253"/>
    <cellStyle name="Акцент1 3 2" xfId="1254"/>
    <cellStyle name="Акцент1 4" xfId="1255"/>
    <cellStyle name="Акцент1 4 2" xfId="1256"/>
    <cellStyle name="Акцент1 5" xfId="1257"/>
    <cellStyle name="Акцент1 5 2" xfId="1258"/>
    <cellStyle name="Акцент1 6" xfId="1259"/>
    <cellStyle name="Акцент1 6 2" xfId="1260"/>
    <cellStyle name="Акцент1 7" xfId="1261"/>
    <cellStyle name="Акцент1 7 2" xfId="1262"/>
    <cellStyle name="Акцент1 8" xfId="1263"/>
    <cellStyle name="Акцент1 8 2" xfId="1264"/>
    <cellStyle name="Акцент1 9" xfId="1265"/>
    <cellStyle name="Акцент1 9 2" xfId="1266"/>
    <cellStyle name="Акцент2 2" xfId="1267"/>
    <cellStyle name="Акцент2 2 2" xfId="1268"/>
    <cellStyle name="Акцент2 3" xfId="1269"/>
    <cellStyle name="Акцент2 3 2" xfId="1270"/>
    <cellStyle name="Акцент2 4" xfId="1271"/>
    <cellStyle name="Акцент2 4 2" xfId="1272"/>
    <cellStyle name="Акцент2 5" xfId="1273"/>
    <cellStyle name="Акцент2 5 2" xfId="1274"/>
    <cellStyle name="Акцент2 6" xfId="1275"/>
    <cellStyle name="Акцент2 6 2" xfId="1276"/>
    <cellStyle name="Акцент2 7" xfId="1277"/>
    <cellStyle name="Акцент2 7 2" xfId="1278"/>
    <cellStyle name="Акцент2 8" xfId="1279"/>
    <cellStyle name="Акцент2 8 2" xfId="1280"/>
    <cellStyle name="Акцент2 9" xfId="1281"/>
    <cellStyle name="Акцент2 9 2" xfId="1282"/>
    <cellStyle name="Акцент3 2" xfId="1283"/>
    <cellStyle name="Акцент3 2 2" xfId="1284"/>
    <cellStyle name="Акцент3 3" xfId="1285"/>
    <cellStyle name="Акцент3 3 2" xfId="1286"/>
    <cellStyle name="Акцент3 4" xfId="1287"/>
    <cellStyle name="Акцент3 4 2" xfId="1288"/>
    <cellStyle name="Акцент3 5" xfId="1289"/>
    <cellStyle name="Акцент3 5 2" xfId="1290"/>
    <cellStyle name="Акцент3 6" xfId="1291"/>
    <cellStyle name="Акцент3 6 2" xfId="1292"/>
    <cellStyle name="Акцент3 7" xfId="1293"/>
    <cellStyle name="Акцент3 7 2" xfId="1294"/>
    <cellStyle name="Акцент3 8" xfId="1295"/>
    <cellStyle name="Акцент3 8 2" xfId="1296"/>
    <cellStyle name="Акцент3 9" xfId="1297"/>
    <cellStyle name="Акцент3 9 2" xfId="1298"/>
    <cellStyle name="Акцент4 2" xfId="1299"/>
    <cellStyle name="Акцент4 2 2" xfId="1300"/>
    <cellStyle name="Акцент4 3" xfId="1301"/>
    <cellStyle name="Акцент4 3 2" xfId="1302"/>
    <cellStyle name="Акцент4 4" xfId="1303"/>
    <cellStyle name="Акцент4 4 2" xfId="1304"/>
    <cellStyle name="Акцент4 5" xfId="1305"/>
    <cellStyle name="Акцент4 5 2" xfId="1306"/>
    <cellStyle name="Акцент4 6" xfId="1307"/>
    <cellStyle name="Акцент4 6 2" xfId="1308"/>
    <cellStyle name="Акцент4 7" xfId="1309"/>
    <cellStyle name="Акцент4 7 2" xfId="1310"/>
    <cellStyle name="Акцент4 8" xfId="1311"/>
    <cellStyle name="Акцент4 8 2" xfId="1312"/>
    <cellStyle name="Акцент4 9" xfId="1313"/>
    <cellStyle name="Акцент4 9 2" xfId="1314"/>
    <cellStyle name="Акцент5 2" xfId="1315"/>
    <cellStyle name="Акцент5 2 2" xfId="1316"/>
    <cellStyle name="Акцент5 3" xfId="1317"/>
    <cellStyle name="Акцент5 3 2" xfId="1318"/>
    <cellStyle name="Акцент5 4" xfId="1319"/>
    <cellStyle name="Акцент5 4 2" xfId="1320"/>
    <cellStyle name="Акцент5 5" xfId="1321"/>
    <cellStyle name="Акцент5 5 2" xfId="1322"/>
    <cellStyle name="Акцент5 6" xfId="1323"/>
    <cellStyle name="Акцент5 6 2" xfId="1324"/>
    <cellStyle name="Акцент5 7" xfId="1325"/>
    <cellStyle name="Акцент5 7 2" xfId="1326"/>
    <cellStyle name="Акцент5 8" xfId="1327"/>
    <cellStyle name="Акцент5 8 2" xfId="1328"/>
    <cellStyle name="Акцент5 9" xfId="1329"/>
    <cellStyle name="Акцент5 9 2" xfId="1330"/>
    <cellStyle name="Акцент6 2" xfId="1331"/>
    <cellStyle name="Акцент6 2 2" xfId="1332"/>
    <cellStyle name="Акцент6 3" xfId="1333"/>
    <cellStyle name="Акцент6 3 2" xfId="1334"/>
    <cellStyle name="Акцент6 4" xfId="1335"/>
    <cellStyle name="Акцент6 4 2" xfId="1336"/>
    <cellStyle name="Акцент6 5" xfId="1337"/>
    <cellStyle name="Акцент6 5 2" xfId="1338"/>
    <cellStyle name="Акцент6 6" xfId="1339"/>
    <cellStyle name="Акцент6 6 2" xfId="1340"/>
    <cellStyle name="Акцент6 7" xfId="1341"/>
    <cellStyle name="Акцент6 7 2" xfId="1342"/>
    <cellStyle name="Акцент6 8" xfId="1343"/>
    <cellStyle name="Акцент6 8 2" xfId="1344"/>
    <cellStyle name="Акцент6 9" xfId="1345"/>
    <cellStyle name="Акцент6 9 2" xfId="1346"/>
    <cellStyle name="Беззащитный" xfId="1347"/>
    <cellStyle name="Ввод  2" xfId="1348"/>
    <cellStyle name="Ввод  2 2" xfId="1349"/>
    <cellStyle name="Ввод  2_46EE.2011(v1.0)" xfId="1350"/>
    <cellStyle name="Ввод  3" xfId="1351"/>
    <cellStyle name="Ввод  3 2" xfId="1352"/>
    <cellStyle name="Ввод  3_46EE.2011(v1.0)" xfId="1353"/>
    <cellStyle name="Ввод  4" xfId="1354"/>
    <cellStyle name="Ввод  4 2" xfId="1355"/>
    <cellStyle name="Ввод  4_46EE.2011(v1.0)" xfId="1356"/>
    <cellStyle name="Ввод  5" xfId="1357"/>
    <cellStyle name="Ввод  5 2" xfId="1358"/>
    <cellStyle name="Ввод  5_46EE.2011(v1.0)" xfId="1359"/>
    <cellStyle name="Ввод  6" xfId="1360"/>
    <cellStyle name="Ввод  6 2" xfId="1361"/>
    <cellStyle name="Ввод  6_46EE.2011(v1.0)" xfId="1362"/>
    <cellStyle name="Ввод  7" xfId="1363"/>
    <cellStyle name="Ввод  7 2" xfId="1364"/>
    <cellStyle name="Ввод  7_46EE.2011(v1.0)" xfId="1365"/>
    <cellStyle name="Ввод  8" xfId="1366"/>
    <cellStyle name="Ввод  8 2" xfId="1367"/>
    <cellStyle name="Ввод  8_46EE.2011(v1.0)" xfId="1368"/>
    <cellStyle name="Ввод  9" xfId="1369"/>
    <cellStyle name="Ввод  9 2" xfId="1370"/>
    <cellStyle name="Ввод  9_46EE.2011(v1.0)" xfId="1371"/>
    <cellStyle name="Верт. заголовок" xfId="1372"/>
    <cellStyle name="Вес_продукта" xfId="1373"/>
    <cellStyle name="Вывод 2" xfId="1374"/>
    <cellStyle name="Вывод 2 2" xfId="1375"/>
    <cellStyle name="Вывод 2_46EE.2011(v1.0)" xfId="1376"/>
    <cellStyle name="Вывод 3" xfId="1377"/>
    <cellStyle name="Вывод 3 2" xfId="1378"/>
    <cellStyle name="Вывод 3_46EE.2011(v1.0)" xfId="1379"/>
    <cellStyle name="Вывод 4" xfId="1380"/>
    <cellStyle name="Вывод 4 2" xfId="1381"/>
    <cellStyle name="Вывод 4_46EE.2011(v1.0)" xfId="1382"/>
    <cellStyle name="Вывод 5" xfId="1383"/>
    <cellStyle name="Вывод 5 2" xfId="1384"/>
    <cellStyle name="Вывод 5_46EE.2011(v1.0)" xfId="1385"/>
    <cellStyle name="Вывод 6" xfId="1386"/>
    <cellStyle name="Вывод 6 2" xfId="1387"/>
    <cellStyle name="Вывод 6_46EE.2011(v1.0)" xfId="1388"/>
    <cellStyle name="Вывод 7" xfId="1389"/>
    <cellStyle name="Вывод 7 2" xfId="1390"/>
    <cellStyle name="Вывод 7_46EE.2011(v1.0)" xfId="1391"/>
    <cellStyle name="Вывод 8" xfId="1392"/>
    <cellStyle name="Вывод 8 2" xfId="1393"/>
    <cellStyle name="Вывод 8_46EE.2011(v1.0)" xfId="1394"/>
    <cellStyle name="Вывод 9" xfId="1395"/>
    <cellStyle name="Вывод 9 2" xfId="1396"/>
    <cellStyle name="Вывод 9_46EE.2011(v1.0)" xfId="1397"/>
    <cellStyle name="Вычисление 2" xfId="1398"/>
    <cellStyle name="Вычисление 2 2" xfId="1399"/>
    <cellStyle name="Вычисление 2_46EE.2011(v1.0)" xfId="1400"/>
    <cellStyle name="Вычисление 3" xfId="1401"/>
    <cellStyle name="Вычисление 3 2" xfId="1402"/>
    <cellStyle name="Вычисление 3_46EE.2011(v1.0)" xfId="1403"/>
    <cellStyle name="Вычисление 4" xfId="1404"/>
    <cellStyle name="Вычисление 4 2" xfId="1405"/>
    <cellStyle name="Вычисление 4_46EE.2011(v1.0)" xfId="1406"/>
    <cellStyle name="Вычисление 5" xfId="1407"/>
    <cellStyle name="Вычисление 5 2" xfId="1408"/>
    <cellStyle name="Вычисление 5_46EE.2011(v1.0)" xfId="1409"/>
    <cellStyle name="Вычисление 6" xfId="1410"/>
    <cellStyle name="Вычисление 6 2" xfId="1411"/>
    <cellStyle name="Вычисление 6_46EE.2011(v1.0)" xfId="1412"/>
    <cellStyle name="Вычисление 7" xfId="1413"/>
    <cellStyle name="Вычисление 7 2" xfId="1414"/>
    <cellStyle name="Вычисление 7_46EE.2011(v1.0)" xfId="1415"/>
    <cellStyle name="Вычисление 8" xfId="1416"/>
    <cellStyle name="Вычисление 8 2" xfId="1417"/>
    <cellStyle name="Вычисление 8_46EE.2011(v1.0)" xfId="1418"/>
    <cellStyle name="Вычисление 9" xfId="1419"/>
    <cellStyle name="Вычисление 9 2" xfId="1420"/>
    <cellStyle name="Вычисление 9_46EE.2011(v1.0)" xfId="1421"/>
    <cellStyle name="Гиперссылка 2" xfId="1422"/>
    <cellStyle name="Гиперссылка 2 2" xfId="1423"/>
    <cellStyle name="Гиперссылка 2 2 2" xfId="1424"/>
    <cellStyle name="Гиперссылка 2 3" xfId="1425"/>
    <cellStyle name="Гиперссылка 3" xfId="1426"/>
    <cellStyle name="Гиперссылка 4" xfId="1427"/>
    <cellStyle name="Гиперссылка 4 6" xfId="1428"/>
    <cellStyle name="Группа" xfId="1429"/>
    <cellStyle name="Группа 0" xfId="1430"/>
    <cellStyle name="Группа 1" xfId="1431"/>
    <cellStyle name="Группа 2" xfId="1432"/>
    <cellStyle name="Группа 3" xfId="1433"/>
    <cellStyle name="Группа 4" xfId="1434"/>
    <cellStyle name="Группа 5" xfId="1435"/>
    <cellStyle name="Группа 6" xfId="1436"/>
    <cellStyle name="Группа 7" xfId="1437"/>
    <cellStyle name="Группа 8" xfId="1438"/>
    <cellStyle name="Группа_additional slides_04.12.03 _1" xfId="1439"/>
    <cellStyle name="ДАТА" xfId="1440"/>
    <cellStyle name="ДАТА 2" xfId="1441"/>
    <cellStyle name="ДАТА 3" xfId="1442"/>
    <cellStyle name="ДАТА 4" xfId="1443"/>
    <cellStyle name="ДАТА 5" xfId="1444"/>
    <cellStyle name="ДАТА 6" xfId="1445"/>
    <cellStyle name="ДАТА 7" xfId="1446"/>
    <cellStyle name="ДАТА 8" xfId="1447"/>
    <cellStyle name="ДАТА 9" xfId="1448"/>
    <cellStyle name="ДАТА_1" xfId="1449"/>
    <cellStyle name="Денежный" xfId="1990" builtinId="4"/>
    <cellStyle name="Денежный 2" xfId="1450"/>
    <cellStyle name="Денежный 2 2" xfId="1451"/>
    <cellStyle name="Денежный 2_INDEX.STATION.2012(v1.0)_" xfId="1452"/>
    <cellStyle name="Заголовок" xfId="1453"/>
    <cellStyle name="Заголовок 1 2" xfId="1454"/>
    <cellStyle name="Заголовок 1 2 2" xfId="1455"/>
    <cellStyle name="Заголовок 1 2_46EE.2011(v1.0)" xfId="1456"/>
    <cellStyle name="Заголовок 1 3" xfId="1457"/>
    <cellStyle name="Заголовок 1 3 2" xfId="1458"/>
    <cellStyle name="Заголовок 1 3_46EE.2011(v1.0)" xfId="1459"/>
    <cellStyle name="Заголовок 1 4" xfId="1460"/>
    <cellStyle name="Заголовок 1 4 2" xfId="1461"/>
    <cellStyle name="Заголовок 1 4_46EE.2011(v1.0)" xfId="1462"/>
    <cellStyle name="Заголовок 1 5" xfId="1463"/>
    <cellStyle name="Заголовок 1 5 2" xfId="1464"/>
    <cellStyle name="Заголовок 1 5_46EE.2011(v1.0)" xfId="1465"/>
    <cellStyle name="Заголовок 1 6" xfId="1466"/>
    <cellStyle name="Заголовок 1 6 2" xfId="1467"/>
    <cellStyle name="Заголовок 1 6_46EE.2011(v1.0)" xfId="1468"/>
    <cellStyle name="Заголовок 1 7" xfId="1469"/>
    <cellStyle name="Заголовок 1 7 2" xfId="1470"/>
    <cellStyle name="Заголовок 1 7_46EE.2011(v1.0)" xfId="1471"/>
    <cellStyle name="Заголовок 1 8" xfId="1472"/>
    <cellStyle name="Заголовок 1 8 2" xfId="1473"/>
    <cellStyle name="Заголовок 1 8_46EE.2011(v1.0)" xfId="1474"/>
    <cellStyle name="Заголовок 1 9" xfId="1475"/>
    <cellStyle name="Заголовок 1 9 2" xfId="1476"/>
    <cellStyle name="Заголовок 1 9_46EE.2011(v1.0)" xfId="1477"/>
    <cellStyle name="Заголовок 2 2" xfId="1478"/>
    <cellStyle name="Заголовок 2 2 2" xfId="1479"/>
    <cellStyle name="Заголовок 2 2_46EE.2011(v1.0)" xfId="1480"/>
    <cellStyle name="Заголовок 2 3" xfId="1481"/>
    <cellStyle name="Заголовок 2 3 2" xfId="1482"/>
    <cellStyle name="Заголовок 2 3_46EE.2011(v1.0)" xfId="1483"/>
    <cellStyle name="Заголовок 2 4" xfId="1484"/>
    <cellStyle name="Заголовок 2 4 2" xfId="1485"/>
    <cellStyle name="Заголовок 2 4_46EE.2011(v1.0)" xfId="1486"/>
    <cellStyle name="Заголовок 2 5" xfId="1487"/>
    <cellStyle name="Заголовок 2 5 2" xfId="1488"/>
    <cellStyle name="Заголовок 2 5_46EE.2011(v1.0)" xfId="1489"/>
    <cellStyle name="Заголовок 2 6" xfId="1490"/>
    <cellStyle name="Заголовок 2 6 2" xfId="1491"/>
    <cellStyle name="Заголовок 2 6_46EE.2011(v1.0)" xfId="1492"/>
    <cellStyle name="Заголовок 2 7" xfId="1493"/>
    <cellStyle name="Заголовок 2 7 2" xfId="1494"/>
    <cellStyle name="Заголовок 2 7_46EE.2011(v1.0)" xfId="1495"/>
    <cellStyle name="Заголовок 2 8" xfId="1496"/>
    <cellStyle name="Заголовок 2 8 2" xfId="1497"/>
    <cellStyle name="Заголовок 2 8_46EE.2011(v1.0)" xfId="1498"/>
    <cellStyle name="Заголовок 2 9" xfId="1499"/>
    <cellStyle name="Заголовок 2 9 2" xfId="1500"/>
    <cellStyle name="Заголовок 2 9_46EE.2011(v1.0)" xfId="1501"/>
    <cellStyle name="Заголовок 3 2" xfId="1502"/>
    <cellStyle name="Заголовок 3 2 2" xfId="1503"/>
    <cellStyle name="Заголовок 3 2_46EE.2011(v1.0)" xfId="1504"/>
    <cellStyle name="Заголовок 3 3" xfId="1505"/>
    <cellStyle name="Заголовок 3 3 2" xfId="1506"/>
    <cellStyle name="Заголовок 3 3_46EE.2011(v1.0)" xfId="1507"/>
    <cellStyle name="Заголовок 3 4" xfId="1508"/>
    <cellStyle name="Заголовок 3 4 2" xfId="1509"/>
    <cellStyle name="Заголовок 3 4_46EE.2011(v1.0)" xfId="1510"/>
    <cellStyle name="Заголовок 3 5" xfId="1511"/>
    <cellStyle name="Заголовок 3 5 2" xfId="1512"/>
    <cellStyle name="Заголовок 3 5_46EE.2011(v1.0)" xfId="1513"/>
    <cellStyle name="Заголовок 3 6" xfId="1514"/>
    <cellStyle name="Заголовок 3 6 2" xfId="1515"/>
    <cellStyle name="Заголовок 3 6_46EE.2011(v1.0)" xfId="1516"/>
    <cellStyle name="Заголовок 3 7" xfId="1517"/>
    <cellStyle name="Заголовок 3 7 2" xfId="1518"/>
    <cellStyle name="Заголовок 3 7_46EE.2011(v1.0)" xfId="1519"/>
    <cellStyle name="Заголовок 3 8" xfId="1520"/>
    <cellStyle name="Заголовок 3 8 2" xfId="1521"/>
    <cellStyle name="Заголовок 3 8_46EE.2011(v1.0)" xfId="1522"/>
    <cellStyle name="Заголовок 3 9" xfId="1523"/>
    <cellStyle name="Заголовок 3 9 2" xfId="1524"/>
    <cellStyle name="Заголовок 3 9_46EE.2011(v1.0)" xfId="1525"/>
    <cellStyle name="Заголовок 4 2" xfId="1526"/>
    <cellStyle name="Заголовок 4 2 2" xfId="1527"/>
    <cellStyle name="Заголовок 4 3" xfId="1528"/>
    <cellStyle name="Заголовок 4 3 2" xfId="1529"/>
    <cellStyle name="Заголовок 4 4" xfId="1530"/>
    <cellStyle name="Заголовок 4 4 2" xfId="1531"/>
    <cellStyle name="Заголовок 4 5" xfId="1532"/>
    <cellStyle name="Заголовок 4 5 2" xfId="1533"/>
    <cellStyle name="Заголовок 4 6" xfId="1534"/>
    <cellStyle name="Заголовок 4 6 2" xfId="1535"/>
    <cellStyle name="Заголовок 4 7" xfId="1536"/>
    <cellStyle name="Заголовок 4 7 2" xfId="1537"/>
    <cellStyle name="Заголовок 4 8" xfId="1538"/>
    <cellStyle name="Заголовок 4 8 2" xfId="1539"/>
    <cellStyle name="Заголовок 4 9" xfId="1540"/>
    <cellStyle name="Заголовок 4 9 2" xfId="1541"/>
    <cellStyle name="ЗАГОЛОВОК1" xfId="1542"/>
    <cellStyle name="ЗАГОЛОВОК2" xfId="1543"/>
    <cellStyle name="ЗаголовокСтолбца" xfId="1544"/>
    <cellStyle name="Защитный" xfId="1545"/>
    <cellStyle name="Значение" xfId="1546"/>
    <cellStyle name="Зоголовок" xfId="1547"/>
    <cellStyle name="Итог 2" xfId="1548"/>
    <cellStyle name="Итог 2 2" xfId="1549"/>
    <cellStyle name="Итог 2_46EE.2011(v1.0)" xfId="1550"/>
    <cellStyle name="Итог 3" xfId="1551"/>
    <cellStyle name="Итог 3 2" xfId="1552"/>
    <cellStyle name="Итог 3_46EE.2011(v1.0)" xfId="1553"/>
    <cellStyle name="Итог 4" xfId="1554"/>
    <cellStyle name="Итог 4 2" xfId="1555"/>
    <cellStyle name="Итог 4_46EE.2011(v1.0)" xfId="1556"/>
    <cellStyle name="Итог 5" xfId="1557"/>
    <cellStyle name="Итог 5 2" xfId="1558"/>
    <cellStyle name="Итог 5_46EE.2011(v1.0)" xfId="1559"/>
    <cellStyle name="Итог 6" xfId="1560"/>
    <cellStyle name="Итог 6 2" xfId="1561"/>
    <cellStyle name="Итог 6_46EE.2011(v1.0)" xfId="1562"/>
    <cellStyle name="Итог 7" xfId="1563"/>
    <cellStyle name="Итог 7 2" xfId="1564"/>
    <cellStyle name="Итог 7_46EE.2011(v1.0)" xfId="1565"/>
    <cellStyle name="Итог 8" xfId="1566"/>
    <cellStyle name="Итог 8 2" xfId="1567"/>
    <cellStyle name="Итог 8_46EE.2011(v1.0)" xfId="1568"/>
    <cellStyle name="Итог 9" xfId="1569"/>
    <cellStyle name="Итог 9 2" xfId="1570"/>
    <cellStyle name="Итог 9_46EE.2011(v1.0)" xfId="1571"/>
    <cellStyle name="Итого" xfId="1572"/>
    <cellStyle name="ИТОГОВЫЙ" xfId="1573"/>
    <cellStyle name="ИТОГОВЫЙ 2" xfId="1574"/>
    <cellStyle name="ИТОГОВЫЙ 3" xfId="1575"/>
    <cellStyle name="ИТОГОВЫЙ 4" xfId="1576"/>
    <cellStyle name="ИТОГОВЫЙ 5" xfId="1577"/>
    <cellStyle name="ИТОГОВЫЙ 6" xfId="1578"/>
    <cellStyle name="ИТОГОВЫЙ 7" xfId="1579"/>
    <cellStyle name="ИТОГОВЫЙ 8" xfId="1580"/>
    <cellStyle name="ИТОГОВЫЙ 9" xfId="1581"/>
    <cellStyle name="ИТОГОВЫЙ_1" xfId="1582"/>
    <cellStyle name="Контрольная ячейка 2" xfId="1583"/>
    <cellStyle name="Контрольная ячейка 2 2" xfId="1584"/>
    <cellStyle name="Контрольная ячейка 2_46EE.2011(v1.0)" xfId="1585"/>
    <cellStyle name="Контрольная ячейка 3" xfId="1586"/>
    <cellStyle name="Контрольная ячейка 3 2" xfId="1587"/>
    <cellStyle name="Контрольная ячейка 3_46EE.2011(v1.0)" xfId="1588"/>
    <cellStyle name="Контрольная ячейка 4" xfId="1589"/>
    <cellStyle name="Контрольная ячейка 4 2" xfId="1590"/>
    <cellStyle name="Контрольная ячейка 4_46EE.2011(v1.0)" xfId="1591"/>
    <cellStyle name="Контрольная ячейка 5" xfId="1592"/>
    <cellStyle name="Контрольная ячейка 5 2" xfId="1593"/>
    <cellStyle name="Контрольная ячейка 5_46EE.2011(v1.0)" xfId="1594"/>
    <cellStyle name="Контрольная ячейка 6" xfId="1595"/>
    <cellStyle name="Контрольная ячейка 6 2" xfId="1596"/>
    <cellStyle name="Контрольная ячейка 6_46EE.2011(v1.0)" xfId="1597"/>
    <cellStyle name="Контрольная ячейка 7" xfId="1598"/>
    <cellStyle name="Контрольная ячейка 7 2" xfId="1599"/>
    <cellStyle name="Контрольная ячейка 7_46EE.2011(v1.0)" xfId="1600"/>
    <cellStyle name="Контрольная ячейка 8" xfId="1601"/>
    <cellStyle name="Контрольная ячейка 8 2" xfId="1602"/>
    <cellStyle name="Контрольная ячейка 8_46EE.2011(v1.0)" xfId="1603"/>
    <cellStyle name="Контрольная ячейка 9" xfId="1604"/>
    <cellStyle name="Контрольная ячейка 9 2" xfId="1605"/>
    <cellStyle name="Контрольная ячейка 9_46EE.2011(v1.0)" xfId="1606"/>
    <cellStyle name="Миша (бланки отчетности)" xfId="1607"/>
    <cellStyle name="Мой заголовок" xfId="1662"/>
    <cellStyle name="Мой заголовок листа" xfId="1663"/>
    <cellStyle name="Мой заголовок_Новая инструкция1_фст" xfId="1664"/>
    <cellStyle name="Мои наименования показателей" xfId="1608"/>
    <cellStyle name="Мои наименования показателей 2" xfId="1609"/>
    <cellStyle name="Мои наименования показателей 2 2" xfId="1610"/>
    <cellStyle name="Мои наименования показателей 2 3" xfId="1611"/>
    <cellStyle name="Мои наименования показателей 2 4" xfId="1612"/>
    <cellStyle name="Мои наименования показателей 2 5" xfId="1613"/>
    <cellStyle name="Мои наименования показателей 2 6" xfId="1614"/>
    <cellStyle name="Мои наименования показателей 2 7" xfId="1615"/>
    <cellStyle name="Мои наименования показателей 2 8" xfId="1616"/>
    <cellStyle name="Мои наименования показателей 2 9" xfId="1617"/>
    <cellStyle name="Мои наименования показателей 2_1" xfId="1618"/>
    <cellStyle name="Мои наименования показателей 3" xfId="1619"/>
    <cellStyle name="Мои наименования показателей 3 2" xfId="1620"/>
    <cellStyle name="Мои наименования показателей 3 3" xfId="1621"/>
    <cellStyle name="Мои наименования показателей 3 4" xfId="1622"/>
    <cellStyle name="Мои наименования показателей 3 5" xfId="1623"/>
    <cellStyle name="Мои наименования показателей 3 6" xfId="1624"/>
    <cellStyle name="Мои наименования показателей 3 7" xfId="1625"/>
    <cellStyle name="Мои наименования показателей 3 8" xfId="1626"/>
    <cellStyle name="Мои наименования показателей 3 9" xfId="1627"/>
    <cellStyle name="Мои наименования показателей 3_1" xfId="1628"/>
    <cellStyle name="Мои наименования показателей 4" xfId="1629"/>
    <cellStyle name="Мои наименования показателей 4 2" xfId="1630"/>
    <cellStyle name="Мои наименования показателей 4 3" xfId="1631"/>
    <cellStyle name="Мои наименования показателей 4 4" xfId="1632"/>
    <cellStyle name="Мои наименования показателей 4 5" xfId="1633"/>
    <cellStyle name="Мои наименования показателей 4 6" xfId="1634"/>
    <cellStyle name="Мои наименования показателей 4 7" xfId="1635"/>
    <cellStyle name="Мои наименования показателей 4 8" xfId="1636"/>
    <cellStyle name="Мои наименования показателей 4 9" xfId="1637"/>
    <cellStyle name="Мои наименования показателей 4_1" xfId="1638"/>
    <cellStyle name="Мои наименования показателей 5" xfId="1639"/>
    <cellStyle name="Мои наименования показателей 5 2" xfId="1640"/>
    <cellStyle name="Мои наименования показателей 5 3" xfId="1641"/>
    <cellStyle name="Мои наименования показателей 5 4" xfId="1642"/>
    <cellStyle name="Мои наименования показателей 5 5" xfId="1643"/>
    <cellStyle name="Мои наименования показателей 5 6" xfId="1644"/>
    <cellStyle name="Мои наименования показателей 5 7" xfId="1645"/>
    <cellStyle name="Мои наименования показателей 5 8" xfId="1646"/>
    <cellStyle name="Мои наименования показателей 5 9" xfId="1647"/>
    <cellStyle name="Мои наименования показателей 5_1" xfId="1648"/>
    <cellStyle name="Мои наименования показателей 6" xfId="1649"/>
    <cellStyle name="Мои наименования показателей 6 2" xfId="1650"/>
    <cellStyle name="Мои наименования показателей 6 3" xfId="1651"/>
    <cellStyle name="Мои наименования показателей 6_46EE.2011(v1.0)" xfId="1652"/>
    <cellStyle name="Мои наименования показателей 7" xfId="1653"/>
    <cellStyle name="Мои наименования показателей 7 2" xfId="1654"/>
    <cellStyle name="Мои наименования показателей 7 3" xfId="1655"/>
    <cellStyle name="Мои наименования показателей 7_46EE.2011(v1.0)" xfId="1656"/>
    <cellStyle name="Мои наименования показателей 8" xfId="1657"/>
    <cellStyle name="Мои наименования показателей 8 2" xfId="1658"/>
    <cellStyle name="Мои наименования показателей 8 3" xfId="1659"/>
    <cellStyle name="Мои наименования показателей 8_46EE.2011(v1.0)" xfId="1660"/>
    <cellStyle name="Мои наименования показателей_46EE.2011" xfId="1661"/>
    <cellStyle name="назв фил" xfId="1665"/>
    <cellStyle name="Название 2" xfId="1666"/>
    <cellStyle name="Название 2 2" xfId="1667"/>
    <cellStyle name="Название 3" xfId="1668"/>
    <cellStyle name="Название 3 2" xfId="1669"/>
    <cellStyle name="Название 4" xfId="1670"/>
    <cellStyle name="Название 4 2" xfId="1671"/>
    <cellStyle name="Название 5" xfId="1672"/>
    <cellStyle name="Название 5 2" xfId="1673"/>
    <cellStyle name="Название 6" xfId="1674"/>
    <cellStyle name="Название 6 2" xfId="1675"/>
    <cellStyle name="Название 7" xfId="1676"/>
    <cellStyle name="Название 7 2" xfId="1677"/>
    <cellStyle name="Название 8" xfId="1678"/>
    <cellStyle name="Название 8 2" xfId="1679"/>
    <cellStyle name="Название 9" xfId="1680"/>
    <cellStyle name="Название 9 2" xfId="1681"/>
    <cellStyle name="Невидимый" xfId="1682"/>
    <cellStyle name="Нейтральный 2" xfId="1683"/>
    <cellStyle name="Нейтральный 2 2" xfId="1684"/>
    <cellStyle name="Нейтральный 3" xfId="1685"/>
    <cellStyle name="Нейтральный 3 2" xfId="1686"/>
    <cellStyle name="Нейтральный 4" xfId="1687"/>
    <cellStyle name="Нейтральный 4 2" xfId="1688"/>
    <cellStyle name="Нейтральный 5" xfId="1689"/>
    <cellStyle name="Нейтральный 5 2" xfId="1690"/>
    <cellStyle name="Нейтральный 6" xfId="1691"/>
    <cellStyle name="Нейтральный 6 2" xfId="1692"/>
    <cellStyle name="Нейтральный 7" xfId="1693"/>
    <cellStyle name="Нейтральный 7 2" xfId="1694"/>
    <cellStyle name="Нейтральный 8" xfId="1695"/>
    <cellStyle name="Нейтральный 8 2" xfId="1696"/>
    <cellStyle name="Нейтральный 9" xfId="1697"/>
    <cellStyle name="Нейтральный 9 2" xfId="1698"/>
    <cellStyle name="Низ1" xfId="1699"/>
    <cellStyle name="Низ2" xfId="1700"/>
    <cellStyle name="Обычный" xfId="0" builtinId="0"/>
    <cellStyle name="Обычный 10" xfId="1701"/>
    <cellStyle name="Обычный 11" xfId="1702"/>
    <cellStyle name="Обычный 11 2" xfId="1703"/>
    <cellStyle name="Обычный 11 3" xfId="1704"/>
    <cellStyle name="Обычный 11_46EE.2011(v1.2)" xfId="1705"/>
    <cellStyle name="Обычный 12" xfId="1706"/>
    <cellStyle name="Обычный 12 2" xfId="1707"/>
    <cellStyle name="Обычный 12 3 2" xfId="1708"/>
    <cellStyle name="Обычный 13" xfId="1709"/>
    <cellStyle name="Обычный 2" xfId="1710"/>
    <cellStyle name="Обычный 2 14" xfId="1711"/>
    <cellStyle name="Обычный 2 2" xfId="1712"/>
    <cellStyle name="Обычный 2 2 2" xfId="1713"/>
    <cellStyle name="Обычный 2 2 3" xfId="1714"/>
    <cellStyle name="Обычный 2 2_46EE.2011(v1.0)" xfId="1715"/>
    <cellStyle name="Обычный 2 3" xfId="1716"/>
    <cellStyle name="Обычный 2 3 2" xfId="1717"/>
    <cellStyle name="Обычный 2 3 3" xfId="1718"/>
    <cellStyle name="Обычный 2 3_46EE.2011(v1.0)" xfId="1719"/>
    <cellStyle name="Обычный 2 4" xfId="1720"/>
    <cellStyle name="Обычный 2 4 2" xfId="1721"/>
    <cellStyle name="Обычный 2 4 3" xfId="1722"/>
    <cellStyle name="Обычный 2 4_46EE.2011(v1.0)" xfId="1723"/>
    <cellStyle name="Обычный 2 5" xfId="1724"/>
    <cellStyle name="Обычный 2 5 2" xfId="1725"/>
    <cellStyle name="Обычный 2 5 3" xfId="1726"/>
    <cellStyle name="Обычный 2 5_46EE.2011(v1.0)" xfId="1727"/>
    <cellStyle name="Обычный 2 6" xfId="1728"/>
    <cellStyle name="Обычный 2 6 2" xfId="1729"/>
    <cellStyle name="Обычный 2 6 3" xfId="1730"/>
    <cellStyle name="Обычный 2 6_46EE.2011(v1.0)" xfId="1731"/>
    <cellStyle name="Обычный 2 7" xfId="1732"/>
    <cellStyle name="Обычный 2_1" xfId="1733"/>
    <cellStyle name="Обычный 3" xfId="1734"/>
    <cellStyle name="Обычный 3 2" xfId="1735"/>
    <cellStyle name="Обычный 3 3" xfId="1736"/>
    <cellStyle name="Обычный 3 3 2" xfId="1737"/>
    <cellStyle name="Обычный 4" xfId="1738"/>
    <cellStyle name="Обычный 4 2" xfId="1739"/>
    <cellStyle name="Обычный 4 2 2" xfId="1740"/>
    <cellStyle name="Обычный 4 2_BALANCE.WARM.2011YEAR(v1.5)" xfId="1741"/>
    <cellStyle name="Обычный 4_ARMRAZR" xfId="1742"/>
    <cellStyle name="Обычный 5" xfId="1743"/>
    <cellStyle name="Обычный 6" xfId="1744"/>
    <cellStyle name="Обычный 7" xfId="1745"/>
    <cellStyle name="Обычный 8" xfId="1746"/>
    <cellStyle name="Обычный 9" xfId="1747"/>
    <cellStyle name="Обычный 9 2" xfId="1748"/>
    <cellStyle name="Ошибка" xfId="1749"/>
    <cellStyle name="Плохой 2" xfId="1750"/>
    <cellStyle name="Плохой 2 2" xfId="1751"/>
    <cellStyle name="Плохой 3" xfId="1752"/>
    <cellStyle name="Плохой 3 2" xfId="1753"/>
    <cellStyle name="Плохой 4" xfId="1754"/>
    <cellStyle name="Плохой 4 2" xfId="1755"/>
    <cellStyle name="Плохой 5" xfId="1756"/>
    <cellStyle name="Плохой 5 2" xfId="1757"/>
    <cellStyle name="Плохой 6" xfId="1758"/>
    <cellStyle name="Плохой 6 2" xfId="1759"/>
    <cellStyle name="Плохой 7" xfId="1760"/>
    <cellStyle name="Плохой 7 2" xfId="1761"/>
    <cellStyle name="Плохой 8" xfId="1762"/>
    <cellStyle name="Плохой 8 2" xfId="1763"/>
    <cellStyle name="Плохой 9" xfId="1764"/>
    <cellStyle name="Плохой 9 2" xfId="1765"/>
    <cellStyle name="По центру с переносом" xfId="1766"/>
    <cellStyle name="По ширине с переносом" xfId="1767"/>
    <cellStyle name="Подгруппа" xfId="1768"/>
    <cellStyle name="Поле ввода" xfId="1769"/>
    <cellStyle name="Пояснение 2" xfId="1770"/>
    <cellStyle name="Пояснение 2 2" xfId="1771"/>
    <cellStyle name="Пояснение 3" xfId="1772"/>
    <cellStyle name="Пояснение 3 2" xfId="1773"/>
    <cellStyle name="Пояснение 4" xfId="1774"/>
    <cellStyle name="Пояснение 4 2" xfId="1775"/>
    <cellStyle name="Пояснение 5" xfId="1776"/>
    <cellStyle name="Пояснение 5 2" xfId="1777"/>
    <cellStyle name="Пояснение 6" xfId="1778"/>
    <cellStyle name="Пояснение 6 2" xfId="1779"/>
    <cellStyle name="Пояснение 7" xfId="1780"/>
    <cellStyle name="Пояснение 7 2" xfId="1781"/>
    <cellStyle name="Пояснение 8" xfId="1782"/>
    <cellStyle name="Пояснение 8 2" xfId="1783"/>
    <cellStyle name="Пояснение 9" xfId="1784"/>
    <cellStyle name="Пояснение 9 2" xfId="1785"/>
    <cellStyle name="Примечание 10" xfId="1786"/>
    <cellStyle name="Примечание 10 2" xfId="1787"/>
    <cellStyle name="Примечание 10 3" xfId="1788"/>
    <cellStyle name="Примечание 10_46EE.2011(v1.0)" xfId="1789"/>
    <cellStyle name="Примечание 11" xfId="1790"/>
    <cellStyle name="Примечание 11 2" xfId="1791"/>
    <cellStyle name="Примечание 11 3" xfId="1792"/>
    <cellStyle name="Примечание 11_46EE.2011(v1.0)" xfId="1793"/>
    <cellStyle name="Примечание 12" xfId="1794"/>
    <cellStyle name="Примечание 12 2" xfId="1795"/>
    <cellStyle name="Примечание 12 3" xfId="1796"/>
    <cellStyle name="Примечание 12_46EE.2011(v1.0)" xfId="1797"/>
    <cellStyle name="Примечание 2" xfId="1798"/>
    <cellStyle name="Примечание 2 2" xfId="1799"/>
    <cellStyle name="Примечание 2 3" xfId="1800"/>
    <cellStyle name="Примечание 2 4" xfId="1801"/>
    <cellStyle name="Примечание 2 5" xfId="1802"/>
    <cellStyle name="Примечание 2 6" xfId="1803"/>
    <cellStyle name="Примечание 2 7" xfId="1804"/>
    <cellStyle name="Примечание 2 8" xfId="1805"/>
    <cellStyle name="Примечание 2 9" xfId="1806"/>
    <cellStyle name="Примечание 2_46EE.2011(v1.0)" xfId="1807"/>
    <cellStyle name="Примечание 3" xfId="1808"/>
    <cellStyle name="Примечание 3 2" xfId="1809"/>
    <cellStyle name="Примечание 3 3" xfId="1810"/>
    <cellStyle name="Примечание 3 4" xfId="1811"/>
    <cellStyle name="Примечание 3 5" xfId="1812"/>
    <cellStyle name="Примечание 3 6" xfId="1813"/>
    <cellStyle name="Примечание 3 7" xfId="1814"/>
    <cellStyle name="Примечание 3 8" xfId="1815"/>
    <cellStyle name="Примечание 3 9" xfId="1816"/>
    <cellStyle name="Примечание 3_46EE.2011(v1.0)" xfId="1817"/>
    <cellStyle name="Примечание 4" xfId="1818"/>
    <cellStyle name="Примечание 4 2" xfId="1819"/>
    <cellStyle name="Примечание 4 3" xfId="1820"/>
    <cellStyle name="Примечание 4 4" xfId="1821"/>
    <cellStyle name="Примечание 4 5" xfId="1822"/>
    <cellStyle name="Примечание 4 6" xfId="1823"/>
    <cellStyle name="Примечание 4 7" xfId="1824"/>
    <cellStyle name="Примечание 4 8" xfId="1825"/>
    <cellStyle name="Примечание 4 9" xfId="1826"/>
    <cellStyle name="Примечание 4_46EE.2011(v1.0)" xfId="1827"/>
    <cellStyle name="Примечание 5" xfId="1828"/>
    <cellStyle name="Примечание 5 2" xfId="1829"/>
    <cellStyle name="Примечание 5 3" xfId="1830"/>
    <cellStyle name="Примечание 5 4" xfId="1831"/>
    <cellStyle name="Примечание 5 5" xfId="1832"/>
    <cellStyle name="Примечание 5 6" xfId="1833"/>
    <cellStyle name="Примечание 5 7" xfId="1834"/>
    <cellStyle name="Примечание 5 8" xfId="1835"/>
    <cellStyle name="Примечание 5 9" xfId="1836"/>
    <cellStyle name="Примечание 5_46EE.2011(v1.0)" xfId="1837"/>
    <cellStyle name="Примечание 6" xfId="1838"/>
    <cellStyle name="Примечание 6 2" xfId="1839"/>
    <cellStyle name="Примечание 6_46EE.2011(v1.0)" xfId="1840"/>
    <cellStyle name="Примечание 7" xfId="1841"/>
    <cellStyle name="Примечание 7 2" xfId="1842"/>
    <cellStyle name="Примечание 7_46EE.2011(v1.0)" xfId="1843"/>
    <cellStyle name="Примечание 8" xfId="1844"/>
    <cellStyle name="Примечание 8 2" xfId="1845"/>
    <cellStyle name="Примечание 8_46EE.2011(v1.0)" xfId="1846"/>
    <cellStyle name="Примечание 9" xfId="1847"/>
    <cellStyle name="Примечание 9 2" xfId="1848"/>
    <cellStyle name="Примечание 9_46EE.2011(v1.0)" xfId="1849"/>
    <cellStyle name="Продукт" xfId="1850"/>
    <cellStyle name="Процентный 10" xfId="1851"/>
    <cellStyle name="Процентный 2" xfId="1852"/>
    <cellStyle name="Процентный 2 2" xfId="1853"/>
    <cellStyle name="Процентный 2 3" xfId="1854"/>
    <cellStyle name="Процентный 3" xfId="1855"/>
    <cellStyle name="Процентный 3 2" xfId="1856"/>
    <cellStyle name="Процентный 3 3" xfId="1857"/>
    <cellStyle name="Процентный 4" xfId="1858"/>
    <cellStyle name="Процентный 4 2" xfId="1859"/>
    <cellStyle name="Процентный 4 3" xfId="1860"/>
    <cellStyle name="Процентный 5" xfId="1861"/>
    <cellStyle name="Процентный 9" xfId="1862"/>
    <cellStyle name="Разница" xfId="1863"/>
    <cellStyle name="Рамки" xfId="1864"/>
    <cellStyle name="Сводная таблица" xfId="1865"/>
    <cellStyle name="Связанная ячейка 2" xfId="1866"/>
    <cellStyle name="Связанная ячейка 2 2" xfId="1867"/>
    <cellStyle name="Связанная ячейка 2_46EE.2011(v1.0)" xfId="1868"/>
    <cellStyle name="Связанная ячейка 3" xfId="1869"/>
    <cellStyle name="Связанная ячейка 3 2" xfId="1870"/>
    <cellStyle name="Связанная ячейка 3_46EE.2011(v1.0)" xfId="1871"/>
    <cellStyle name="Связанная ячейка 4" xfId="1872"/>
    <cellStyle name="Связанная ячейка 4 2" xfId="1873"/>
    <cellStyle name="Связанная ячейка 4_46EE.2011(v1.0)" xfId="1874"/>
    <cellStyle name="Связанная ячейка 5" xfId="1875"/>
    <cellStyle name="Связанная ячейка 5 2" xfId="1876"/>
    <cellStyle name="Связанная ячейка 5_46EE.2011(v1.0)" xfId="1877"/>
    <cellStyle name="Связанная ячейка 6" xfId="1878"/>
    <cellStyle name="Связанная ячейка 6 2" xfId="1879"/>
    <cellStyle name="Связанная ячейка 6_46EE.2011(v1.0)" xfId="1880"/>
    <cellStyle name="Связанная ячейка 7" xfId="1881"/>
    <cellStyle name="Связанная ячейка 7 2" xfId="1882"/>
    <cellStyle name="Связанная ячейка 7_46EE.2011(v1.0)" xfId="1883"/>
    <cellStyle name="Связанная ячейка 8" xfId="1884"/>
    <cellStyle name="Связанная ячейка 8 2" xfId="1885"/>
    <cellStyle name="Связанная ячейка 8_46EE.2011(v1.0)" xfId="1886"/>
    <cellStyle name="Связанная ячейка 9" xfId="1887"/>
    <cellStyle name="Связанная ячейка 9 2" xfId="1888"/>
    <cellStyle name="Связанная ячейка 9_46EE.2011(v1.0)" xfId="1889"/>
    <cellStyle name="Стиль 1" xfId="1890"/>
    <cellStyle name="Стиль 1 2" xfId="1891"/>
    <cellStyle name="Стиль 1 2 2" xfId="1892"/>
    <cellStyle name="Стиль 1 2_46EP.2012(v0.1)" xfId="1893"/>
    <cellStyle name="Стиль 1_Новая инструкция1_фст" xfId="1894"/>
    <cellStyle name="Субсчет" xfId="1895"/>
    <cellStyle name="Счет" xfId="1896"/>
    <cellStyle name="ТЕКСТ" xfId="1897"/>
    <cellStyle name="ТЕКСТ 2" xfId="1898"/>
    <cellStyle name="ТЕКСТ 3" xfId="1899"/>
    <cellStyle name="ТЕКСТ 4" xfId="1900"/>
    <cellStyle name="ТЕКСТ 5" xfId="1901"/>
    <cellStyle name="ТЕКСТ 6" xfId="1902"/>
    <cellStyle name="ТЕКСТ 7" xfId="1903"/>
    <cellStyle name="ТЕКСТ 8" xfId="1904"/>
    <cellStyle name="ТЕКСТ 9" xfId="1905"/>
    <cellStyle name="Текст предупреждения 2" xfId="1906"/>
    <cellStyle name="Текст предупреждения 2 2" xfId="1907"/>
    <cellStyle name="Текст предупреждения 3" xfId="1908"/>
    <cellStyle name="Текст предупреждения 3 2" xfId="1909"/>
    <cellStyle name="Текст предупреждения 4" xfId="1910"/>
    <cellStyle name="Текст предупреждения 4 2" xfId="1911"/>
    <cellStyle name="Текст предупреждения 5" xfId="1912"/>
    <cellStyle name="Текст предупреждения 5 2" xfId="1913"/>
    <cellStyle name="Текст предупреждения 6" xfId="1914"/>
    <cellStyle name="Текст предупреждения 6 2" xfId="1915"/>
    <cellStyle name="Текст предупреждения 7" xfId="1916"/>
    <cellStyle name="Текст предупреждения 7 2" xfId="1917"/>
    <cellStyle name="Текст предупреждения 8" xfId="1918"/>
    <cellStyle name="Текст предупреждения 8 2" xfId="1919"/>
    <cellStyle name="Текст предупреждения 9" xfId="1920"/>
    <cellStyle name="Текст предупреждения 9 2" xfId="1921"/>
    <cellStyle name="Текстовый" xfId="1922"/>
    <cellStyle name="Текстовый 2" xfId="1923"/>
    <cellStyle name="Текстовый 3" xfId="1924"/>
    <cellStyle name="Текстовый 4" xfId="1925"/>
    <cellStyle name="Текстовый 5" xfId="1926"/>
    <cellStyle name="Текстовый 6" xfId="1927"/>
    <cellStyle name="Текстовый 7" xfId="1928"/>
    <cellStyle name="Текстовый 8" xfId="1929"/>
    <cellStyle name="Текстовый 9" xfId="1930"/>
    <cellStyle name="Текстовый_1" xfId="1931"/>
    <cellStyle name="Тысячи [0]_22гк" xfId="1932"/>
    <cellStyle name="Тысячи_22гк" xfId="1933"/>
    <cellStyle name="ФИКСИРОВАННЫЙ" xfId="1934"/>
    <cellStyle name="ФИКСИРОВАННЫЙ 2" xfId="1935"/>
    <cellStyle name="ФИКСИРОВАННЫЙ 3" xfId="1936"/>
    <cellStyle name="ФИКСИРОВАННЫЙ 4" xfId="1937"/>
    <cellStyle name="ФИКСИРОВАННЫЙ 5" xfId="1938"/>
    <cellStyle name="ФИКСИРОВАННЫЙ 6" xfId="1939"/>
    <cellStyle name="ФИКСИРОВАННЫЙ 7" xfId="1940"/>
    <cellStyle name="ФИКСИРОВАННЫЙ 8" xfId="1941"/>
    <cellStyle name="ФИКСИРОВАННЫЙ 9" xfId="1942"/>
    <cellStyle name="ФИКСИРОВАННЫЙ_1" xfId="1943"/>
    <cellStyle name="Финансовый" xfId="1991" builtinId="3"/>
    <cellStyle name="Финансовый 2" xfId="1944"/>
    <cellStyle name="Финансовый 2 2" xfId="1945"/>
    <cellStyle name="Финансовый 2 2 2" xfId="1946"/>
    <cellStyle name="Финансовый 2 2_INDEX.STATION.2012(v1.0)_" xfId="1947"/>
    <cellStyle name="Финансовый 2 3" xfId="1948"/>
    <cellStyle name="Финансовый 2_46EE.2011(v1.0)" xfId="1949"/>
    <cellStyle name="Финансовый 3" xfId="1950"/>
    <cellStyle name="Финансовый 3 2" xfId="1951"/>
    <cellStyle name="Финансовый 3 3" xfId="1952"/>
    <cellStyle name="Финансовый 3 4" xfId="1953"/>
    <cellStyle name="Финансовый 3_INDEX.STATION.2012(v1.0)_" xfId="1954"/>
    <cellStyle name="Финансовый 4" xfId="1955"/>
    <cellStyle name="Финансовый 4 2" xfId="1956"/>
    <cellStyle name="Финансовый 6" xfId="1957"/>
    <cellStyle name="Финансовый0[0]_FU_bal" xfId="1958"/>
    <cellStyle name="Формула" xfId="1959"/>
    <cellStyle name="Формула 2" xfId="1960"/>
    <cellStyle name="Формула 3" xfId="1961"/>
    <cellStyle name="Формула_A РТ 2009 Рязаньэнерго" xfId="1962"/>
    <cellStyle name="ФормулаВБ" xfId="1963"/>
    <cellStyle name="ФормулаНаКонтроль" xfId="1964"/>
    <cellStyle name="Хороший 2" xfId="1965"/>
    <cellStyle name="Хороший 2 2" xfId="1966"/>
    <cellStyle name="Хороший 3" xfId="1967"/>
    <cellStyle name="Хороший 3 2" xfId="1968"/>
    <cellStyle name="Хороший 4" xfId="1969"/>
    <cellStyle name="Хороший 4 2" xfId="1970"/>
    <cellStyle name="Хороший 5" xfId="1971"/>
    <cellStyle name="Хороший 5 2" xfId="1972"/>
    <cellStyle name="Хороший 6" xfId="1973"/>
    <cellStyle name="Хороший 6 2" xfId="1974"/>
    <cellStyle name="Хороший 7" xfId="1975"/>
    <cellStyle name="Хороший 7 2" xfId="1976"/>
    <cellStyle name="Хороший 8" xfId="1977"/>
    <cellStyle name="Хороший 8 2" xfId="1978"/>
    <cellStyle name="Хороший 9" xfId="1979"/>
    <cellStyle name="Хороший 9 2" xfId="1980"/>
    <cellStyle name="Цена_продукта" xfId="1981"/>
    <cellStyle name="Цифры по центру с десятыми" xfId="1982"/>
    <cellStyle name="число" xfId="1983"/>
    <cellStyle name="Џђћ–…ќ’ќ›‰" xfId="1984"/>
    <cellStyle name="Шапка" xfId="1985"/>
    <cellStyle name="Шапка таблицы" xfId="1986"/>
    <cellStyle name="ШАУ" xfId="1987"/>
    <cellStyle name="標準_PL-CF sheet" xfId="1988"/>
    <cellStyle name="䁺_x0001_" xfId="1989"/>
  </cellStyles>
  <dxfs count="0"/>
  <tableStyles count="0" defaultTableStyle="TableStyleMedium9" defaultPivotStyle="PivotStyleLight16"/>
  <colors>
    <mruColors>
      <color rgb="FFFFFF99"/>
      <color rgb="FF66FFFF"/>
      <color rgb="FFFF99CC"/>
      <color rgb="FFFF3399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400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электроэнергии населением на территории Астраханской области за</a:t>
            </a:r>
            <a:r>
              <a:rPr lang="ru-RU" sz="1400" baseline="0">
                <a:latin typeface="Times New Roman" pitchFamily="18" charset="0"/>
                <a:cs typeface="Times New Roman" pitchFamily="18" charset="0"/>
              </a:rPr>
              <a:t> декабрь 2014 года, январь-июль 2015 года, (%)</a:t>
            </a:r>
            <a:endParaRPr lang="ru-RU" sz="1400"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'Прил№3 июль'!$A$4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июль'!$B$4:$I$4</c:f>
              <c:numCache>
                <c:formatCode>0.000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'Прил№3 июль'!$A$5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июль'!$B$5:$I$5</c:f>
              <c:numCache>
                <c:formatCode>0.00</c:formatCode>
                <c:ptCount val="8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ser>
          <c:idx val="2"/>
          <c:order val="2"/>
          <c:tx>
            <c:strRef>
              <c:f>'Прил№3 июль'!$A$6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июль'!$B$6:$I$6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ser>
          <c:idx val="3"/>
          <c:order val="3"/>
          <c:tx>
            <c:strRef>
              <c:f>'Прил№3 июль'!$A$7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июль'!$B$7:$I$7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ser>
          <c:idx val="4"/>
          <c:order val="4"/>
          <c:tx>
            <c:strRef>
              <c:f>'Прил№3 июль'!$A$8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'Прил№3 июль'!$B$3:$I$3</c:f>
              <c:numCache>
                <c:formatCode>mmm\-yy</c:formatCode>
                <c:ptCount val="8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</c:numCache>
            </c:numRef>
          </c:cat>
          <c:val>
            <c:numRef>
              <c:f>'Прил№3 июль'!$B$8:$I$8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">
                  <c:v>0</c:v>
                </c:pt>
                <c:pt idx="6" formatCode="0.000">
                  <c:v>0</c:v>
                </c:pt>
                <c:pt idx="7" formatCode="0.0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132928"/>
        <c:axId val="143147008"/>
      </c:barChart>
      <c:dateAx>
        <c:axId val="1431329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43147008"/>
        <c:crosses val="autoZero"/>
        <c:auto val="1"/>
        <c:lblOffset val="100"/>
        <c:baseTimeUnit val="months"/>
      </c:dateAx>
      <c:valAx>
        <c:axId val="14314700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in"/>
        <c:tickLblPos val="nextTo"/>
        <c:crossAx val="14313292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2017 год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layout>
        <c:manualLayout>
          <c:xMode val="edge"/>
          <c:yMode val="edge"/>
          <c:x val="0.14299513279388823"/>
          <c:y val="1.412437496407839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8333389334780154E-2"/>
          <c:y val="4.9905912184705727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dLbl>
              <c:idx val="4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населению, в т.ч.: </c:v>
                </c:pt>
              </c:strCache>
            </c:strRef>
          </c:cat>
          <c:val>
            <c:numRef>
              <c:f>'Приложение №5'!$B$6:$B$10</c:f>
              <c:numCache>
                <c:formatCode>_-* #,##0.00_р_._-;\-* #,##0.00_р_._-;_-* "-"??_р_._-;_-@_-</c:formatCode>
                <c:ptCount val="5"/>
                <c:pt idx="0">
                  <c:v>0.12</c:v>
                </c:pt>
                <c:pt idx="1">
                  <c:v>58.7</c:v>
                </c:pt>
                <c:pt idx="2">
                  <c:v>4.3099999999999996</c:v>
                </c:pt>
                <c:pt idx="3">
                  <c:v>33.270000000000003</c:v>
                </c:pt>
                <c:pt idx="4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Потребители, приравненные к населению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042061001122121E-2"/>
          <c:y val="0.24563501952779454"/>
          <c:w val="0.83987969067410406"/>
          <c:h val="0.66863934170501516"/>
        </c:manualLayout>
      </c:layout>
      <c:pie3DChart>
        <c:varyColors val="1"/>
        <c:ser>
          <c:idx val="0"/>
          <c:order val="0"/>
          <c:explosion val="52"/>
          <c:dPt>
            <c:idx val="0"/>
            <c:bubble3D val="0"/>
            <c:explosion val="72"/>
          </c:dPt>
          <c:dPt>
            <c:idx val="1"/>
            <c:bubble3D val="0"/>
            <c:explosion val="43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№5'!$B$11:$B$15</c:f>
              <c:numCache>
                <c:formatCode>_-* #,##0.00_р_._-;\-* #,##0.00_р_._-;_-* "-"??_р_._-;_-@_-</c:formatCode>
                <c:ptCount val="5"/>
                <c:pt idx="0">
                  <c:v>3.83</c:v>
                </c:pt>
                <c:pt idx="1">
                  <c:v>65.430000000000007</c:v>
                </c:pt>
                <c:pt idx="2">
                  <c:v>5.87</c:v>
                </c:pt>
                <c:pt idx="3">
                  <c:v>16.32</c:v>
                </c:pt>
                <c:pt idx="4">
                  <c:v>8.56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2-й квартал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№6'!$B$6:$B$10</c:f>
              <c:numCache>
                <c:formatCode>_-* #,##0.00_р_._-;\-* #,##0.00_р_._-;_-* "-"??_р_._-;_-@_-</c:formatCode>
                <c:ptCount val="5"/>
                <c:pt idx="0">
                  <c:v>0.1</c:v>
                </c:pt>
                <c:pt idx="1">
                  <c:v>60.35</c:v>
                </c:pt>
                <c:pt idx="2">
                  <c:v>4.2699999999999996</c:v>
                </c:pt>
                <c:pt idx="3">
                  <c:v>32.11</c:v>
                </c:pt>
                <c:pt idx="4">
                  <c:v>3.17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№6'!$B$11:$B$15</c:f>
              <c:numCache>
                <c:formatCode>_-* #,##0.00_р_._-;\-* #,##0.00_р_._-;_-* "-"??_р_._-;_-@_-</c:formatCode>
                <c:ptCount val="5"/>
                <c:pt idx="0">
                  <c:v>3.8936932215234101</c:v>
                </c:pt>
                <c:pt idx="1">
                  <c:v>74.196990116801445</c:v>
                </c:pt>
                <c:pt idx="2">
                  <c:v>5.7801737047020065</c:v>
                </c:pt>
                <c:pt idx="3">
                  <c:v>18.43272686433064</c:v>
                </c:pt>
                <c:pt idx="4">
                  <c:v>-2.3035839073574924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1-ое полугодие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070041471402176E-2"/>
          <c:y val="0.32388902878155823"/>
          <c:w val="0.52909357629389986"/>
          <c:h val="0.60092259103139345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7'!$A$7:$A$11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 7'!$B$7:$B$11</c:f>
              <c:numCache>
                <c:formatCode>_-* #,##0.00_р_._-;\-* #,##0.00_р_._-;_-* "-"??_р_._-;_-@_-</c:formatCode>
                <c:ptCount val="5"/>
                <c:pt idx="0">
                  <c:v>0.08</c:v>
                </c:pt>
                <c:pt idx="1">
                  <c:v>57.9</c:v>
                </c:pt>
                <c:pt idx="2">
                  <c:v>3.77</c:v>
                </c:pt>
                <c:pt idx="3">
                  <c:v>35.24</c:v>
                </c:pt>
                <c:pt idx="4">
                  <c:v>3.01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  <a:endParaRPr lang="ru-RU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3.7037037037037035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7'!$A$12:$A$16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 7'!$B$12:$B$16</c:f>
              <c:numCache>
                <c:formatCode>_-* #,##0.00_р_._-;\-* #,##0.00_р_._-;_-* "-"??_р_._-;_-@_-</c:formatCode>
                <c:ptCount val="5"/>
                <c:pt idx="0">
                  <c:v>4.1399999999999997</c:v>
                </c:pt>
                <c:pt idx="1">
                  <c:v>61.62</c:v>
                </c:pt>
                <c:pt idx="2">
                  <c:v>7.98</c:v>
                </c:pt>
                <c:pt idx="3">
                  <c:v>17.91</c:v>
                </c:pt>
                <c:pt idx="4">
                  <c:v>8.35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декабрь 2016 года и  2017 год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'Приложение №3'!$A$5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№3'!$B$5:$N$5</c:f>
              <c:numCache>
                <c:formatCode>0.000</c:formatCode>
                <c:ptCount val="13"/>
                <c:pt idx="0">
                  <c:v>0.12471475745662682</c:v>
                </c:pt>
                <c:pt idx="1">
                  <c:v>5.7315861709645623E-2</c:v>
                </c:pt>
                <c:pt idx="2" formatCode="General">
                  <c:v>7.0000000000000007E-2</c:v>
                </c:pt>
                <c:pt idx="3" formatCode="General">
                  <c:v>7.0000000000000007E-2</c:v>
                </c:pt>
                <c:pt idx="4" formatCode="General">
                  <c:v>0.09</c:v>
                </c:pt>
                <c:pt idx="5" formatCode="General">
                  <c:v>0.09</c:v>
                </c:pt>
                <c:pt idx="6" formatCode="General">
                  <c:v>0.12</c:v>
                </c:pt>
                <c:pt idx="7" formatCode="General">
                  <c:v>0.14000000000000001</c:v>
                </c:pt>
                <c:pt idx="8" formatCode="General">
                  <c:v>0.11</c:v>
                </c:pt>
                <c:pt idx="9" formatCode="General">
                  <c:v>0.1</c:v>
                </c:pt>
                <c:pt idx="10" formatCode="General">
                  <c:v>0.14000000000000001</c:v>
                </c:pt>
                <c:pt idx="11" formatCode="General">
                  <c:v>0.34</c:v>
                </c:pt>
                <c:pt idx="12" formatCode="General">
                  <c:v>0.13</c:v>
                </c:pt>
              </c:numCache>
            </c:numRef>
          </c:val>
        </c:ser>
        <c:ser>
          <c:idx val="1"/>
          <c:order val="1"/>
          <c:tx>
            <c:strRef>
              <c:f>'Приложение №3'!$A$6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№3'!$B$6:$N$6</c:f>
              <c:numCache>
                <c:formatCode>0.000</c:formatCode>
                <c:ptCount val="13"/>
                <c:pt idx="0">
                  <c:v>59.49143788316065</c:v>
                </c:pt>
                <c:pt idx="1">
                  <c:v>49.151007728482625</c:v>
                </c:pt>
                <c:pt idx="2" formatCode="General">
                  <c:v>53.44</c:v>
                </c:pt>
                <c:pt idx="3" formatCode="General">
                  <c:v>57.17</c:v>
                </c:pt>
                <c:pt idx="4" formatCode="General">
                  <c:v>58.99</c:v>
                </c:pt>
                <c:pt idx="5" formatCode="General">
                  <c:v>63.13</c:v>
                </c:pt>
                <c:pt idx="6" formatCode="General">
                  <c:v>59.2</c:v>
                </c:pt>
                <c:pt idx="7" formatCode="General">
                  <c:v>50.98</c:v>
                </c:pt>
                <c:pt idx="8" formatCode="General">
                  <c:v>68.98</c:v>
                </c:pt>
                <c:pt idx="9" formatCode="General">
                  <c:v>58.86</c:v>
                </c:pt>
                <c:pt idx="10" formatCode="General">
                  <c:v>60.9</c:v>
                </c:pt>
                <c:pt idx="11" formatCode="General">
                  <c:v>58.36</c:v>
                </c:pt>
                <c:pt idx="12" formatCode="General">
                  <c:v>59.49</c:v>
                </c:pt>
              </c:numCache>
            </c:numRef>
          </c:val>
        </c:ser>
        <c:ser>
          <c:idx val="2"/>
          <c:order val="2"/>
          <c:tx>
            <c:strRef>
              <c:f>'Приложение №3'!$A$7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№3'!$B$7:$N$7</c:f>
              <c:numCache>
                <c:formatCode>0.000</c:formatCode>
                <c:ptCount val="13"/>
                <c:pt idx="0">
                  <c:v>3.8991880316209468</c:v>
                </c:pt>
                <c:pt idx="1">
                  <c:v>6.0798318731679801</c:v>
                </c:pt>
                <c:pt idx="2" formatCode="General">
                  <c:v>3.38</c:v>
                </c:pt>
                <c:pt idx="3" formatCode="General">
                  <c:v>3.22</c:v>
                </c:pt>
                <c:pt idx="4" formatCode="General">
                  <c:v>4.2300000000000004</c:v>
                </c:pt>
                <c:pt idx="5" formatCode="General">
                  <c:v>2.62</c:v>
                </c:pt>
                <c:pt idx="6" formatCode="General">
                  <c:v>5.82</c:v>
                </c:pt>
                <c:pt idx="7" formatCode="General">
                  <c:v>3.48</c:v>
                </c:pt>
                <c:pt idx="8" formatCode="General">
                  <c:v>6.31</c:v>
                </c:pt>
                <c:pt idx="9" formatCode="General">
                  <c:v>5.72</c:v>
                </c:pt>
                <c:pt idx="10" formatCode="General">
                  <c:v>6.24</c:v>
                </c:pt>
                <c:pt idx="11" formatCode="General">
                  <c:v>3.29</c:v>
                </c:pt>
                <c:pt idx="12" formatCode="General">
                  <c:v>3.9</c:v>
                </c:pt>
              </c:numCache>
            </c:numRef>
          </c:val>
        </c:ser>
        <c:ser>
          <c:idx val="3"/>
          <c:order val="3"/>
          <c:tx>
            <c:strRef>
              <c:f>'Приложение №3'!$A$8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№3'!$B$8:$N$8</c:f>
              <c:numCache>
                <c:formatCode>0.000</c:formatCode>
                <c:ptCount val="13"/>
                <c:pt idx="0">
                  <c:v>33.209970258112975</c:v>
                </c:pt>
                <c:pt idx="1">
                  <c:v>32.976690906654405</c:v>
                </c:pt>
                <c:pt idx="2" formatCode="General">
                  <c:v>40.380000000000003</c:v>
                </c:pt>
                <c:pt idx="3" formatCode="General">
                  <c:v>36.79</c:v>
                </c:pt>
                <c:pt idx="4" formatCode="General">
                  <c:v>35.020000000000003</c:v>
                </c:pt>
                <c:pt idx="5" formatCode="General">
                  <c:v>29.93</c:v>
                </c:pt>
                <c:pt idx="6" formatCode="General">
                  <c:v>31.1</c:v>
                </c:pt>
                <c:pt idx="7" formatCode="General">
                  <c:v>42.24</c:v>
                </c:pt>
                <c:pt idx="8" formatCode="General">
                  <c:v>19.329999999999998</c:v>
                </c:pt>
                <c:pt idx="9" formatCode="General">
                  <c:v>28.61</c:v>
                </c:pt>
                <c:pt idx="10" formatCode="General">
                  <c:v>29.18</c:v>
                </c:pt>
                <c:pt idx="11" formatCode="General">
                  <c:v>35.229999999999997</c:v>
                </c:pt>
                <c:pt idx="12" formatCode="General">
                  <c:v>33.21</c:v>
                </c:pt>
              </c:numCache>
            </c:numRef>
          </c:val>
        </c:ser>
        <c:ser>
          <c:idx val="4"/>
          <c:order val="4"/>
          <c:tx>
            <c:strRef>
              <c:f>'Приложение №3'!$A$9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№3'!$B$9:$N$9</c:f>
              <c:numCache>
                <c:formatCode>0.000</c:formatCode>
                <c:ptCount val="13"/>
                <c:pt idx="0">
                  <c:v>3.2746890696488076</c:v>
                </c:pt>
                <c:pt idx="1">
                  <c:v>3.2012930529617121</c:v>
                </c:pt>
                <c:pt idx="2" formatCode="General">
                  <c:v>2.73</c:v>
                </c:pt>
                <c:pt idx="3" formatCode="General">
                  <c:v>2.75</c:v>
                </c:pt>
                <c:pt idx="4" formatCode="General">
                  <c:v>1.67</c:v>
                </c:pt>
                <c:pt idx="5" formatCode="General">
                  <c:v>4.2300000000000004</c:v>
                </c:pt>
                <c:pt idx="6" formatCode="General">
                  <c:v>3.76</c:v>
                </c:pt>
                <c:pt idx="7" formatCode="General">
                  <c:v>3.16</c:v>
                </c:pt>
                <c:pt idx="8" formatCode="General">
                  <c:v>5.27</c:v>
                </c:pt>
                <c:pt idx="9" formatCode="General">
                  <c:v>6.71</c:v>
                </c:pt>
                <c:pt idx="10" formatCode="General">
                  <c:v>3.54</c:v>
                </c:pt>
                <c:pt idx="11" formatCode="General">
                  <c:v>2.78</c:v>
                </c:pt>
                <c:pt idx="12" formatCode="General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5257472"/>
        <c:axId val="155271552"/>
      </c:barChart>
      <c:dateAx>
        <c:axId val="15525747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5271552"/>
        <c:crosses val="autoZero"/>
        <c:auto val="1"/>
        <c:lblOffset val="100"/>
        <c:baseTimeUnit val="months"/>
      </c:dateAx>
      <c:valAx>
        <c:axId val="1552715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5257472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декабрь 2016 года и  2017 год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'Приложение №3'!$A$5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№3'!$B$5:$N$5</c:f>
              <c:numCache>
                <c:formatCode>0.000</c:formatCode>
                <c:ptCount val="13"/>
                <c:pt idx="0">
                  <c:v>0.12471475745662682</c:v>
                </c:pt>
                <c:pt idx="1">
                  <c:v>5.7315861709645623E-2</c:v>
                </c:pt>
                <c:pt idx="2" formatCode="General">
                  <c:v>7.0000000000000007E-2</c:v>
                </c:pt>
                <c:pt idx="3" formatCode="General">
                  <c:v>7.0000000000000007E-2</c:v>
                </c:pt>
                <c:pt idx="4" formatCode="General">
                  <c:v>0.09</c:v>
                </c:pt>
                <c:pt idx="5" formatCode="General">
                  <c:v>0.09</c:v>
                </c:pt>
                <c:pt idx="6" formatCode="General">
                  <c:v>0.12</c:v>
                </c:pt>
                <c:pt idx="7" formatCode="General">
                  <c:v>0.14000000000000001</c:v>
                </c:pt>
                <c:pt idx="8" formatCode="General">
                  <c:v>0.11</c:v>
                </c:pt>
                <c:pt idx="9" formatCode="General">
                  <c:v>0.1</c:v>
                </c:pt>
                <c:pt idx="10" formatCode="General">
                  <c:v>0.14000000000000001</c:v>
                </c:pt>
                <c:pt idx="11" formatCode="General">
                  <c:v>0.34</c:v>
                </c:pt>
                <c:pt idx="12" formatCode="General">
                  <c:v>0.13</c:v>
                </c:pt>
              </c:numCache>
            </c:numRef>
          </c:val>
        </c:ser>
        <c:ser>
          <c:idx val="1"/>
          <c:order val="1"/>
          <c:tx>
            <c:strRef>
              <c:f>'Приложение №3'!$A$6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№3'!$B$6:$N$6</c:f>
              <c:numCache>
                <c:formatCode>0.000</c:formatCode>
                <c:ptCount val="13"/>
                <c:pt idx="0">
                  <c:v>59.49143788316065</c:v>
                </c:pt>
                <c:pt idx="1">
                  <c:v>49.151007728482625</c:v>
                </c:pt>
                <c:pt idx="2" formatCode="General">
                  <c:v>53.44</c:v>
                </c:pt>
                <c:pt idx="3" formatCode="General">
                  <c:v>57.17</c:v>
                </c:pt>
                <c:pt idx="4" formatCode="General">
                  <c:v>58.99</c:v>
                </c:pt>
                <c:pt idx="5" formatCode="General">
                  <c:v>63.13</c:v>
                </c:pt>
                <c:pt idx="6" formatCode="General">
                  <c:v>59.2</c:v>
                </c:pt>
                <c:pt idx="7" formatCode="General">
                  <c:v>50.98</c:v>
                </c:pt>
                <c:pt idx="8" formatCode="General">
                  <c:v>68.98</c:v>
                </c:pt>
                <c:pt idx="9" formatCode="General">
                  <c:v>58.86</c:v>
                </c:pt>
                <c:pt idx="10" formatCode="General">
                  <c:v>60.9</c:v>
                </c:pt>
                <c:pt idx="11" formatCode="General">
                  <c:v>58.36</c:v>
                </c:pt>
                <c:pt idx="12" formatCode="General">
                  <c:v>59.49</c:v>
                </c:pt>
              </c:numCache>
            </c:numRef>
          </c:val>
        </c:ser>
        <c:ser>
          <c:idx val="2"/>
          <c:order val="2"/>
          <c:tx>
            <c:strRef>
              <c:f>'Приложение №3'!$A$7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№3'!$B$7:$N$7</c:f>
              <c:numCache>
                <c:formatCode>0.000</c:formatCode>
                <c:ptCount val="13"/>
                <c:pt idx="0">
                  <c:v>3.8991880316209468</c:v>
                </c:pt>
                <c:pt idx="1">
                  <c:v>6.0798318731679801</c:v>
                </c:pt>
                <c:pt idx="2" formatCode="General">
                  <c:v>3.38</c:v>
                </c:pt>
                <c:pt idx="3" formatCode="General">
                  <c:v>3.22</c:v>
                </c:pt>
                <c:pt idx="4" formatCode="General">
                  <c:v>4.2300000000000004</c:v>
                </c:pt>
                <c:pt idx="5" formatCode="General">
                  <c:v>2.62</c:v>
                </c:pt>
                <c:pt idx="6" formatCode="General">
                  <c:v>5.82</c:v>
                </c:pt>
                <c:pt idx="7" formatCode="General">
                  <c:v>3.48</c:v>
                </c:pt>
                <c:pt idx="8" formatCode="General">
                  <c:v>6.31</c:v>
                </c:pt>
                <c:pt idx="9" formatCode="General">
                  <c:v>5.72</c:v>
                </c:pt>
                <c:pt idx="10" formatCode="General">
                  <c:v>6.24</c:v>
                </c:pt>
                <c:pt idx="11" formatCode="General">
                  <c:v>3.29</c:v>
                </c:pt>
                <c:pt idx="12" formatCode="General">
                  <c:v>3.9</c:v>
                </c:pt>
              </c:numCache>
            </c:numRef>
          </c:val>
        </c:ser>
        <c:ser>
          <c:idx val="3"/>
          <c:order val="3"/>
          <c:tx>
            <c:strRef>
              <c:f>'Приложение №3'!$A$8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№3'!$B$8:$N$8</c:f>
              <c:numCache>
                <c:formatCode>0.000</c:formatCode>
                <c:ptCount val="13"/>
                <c:pt idx="0">
                  <c:v>33.209970258112975</c:v>
                </c:pt>
                <c:pt idx="1">
                  <c:v>32.976690906654405</c:v>
                </c:pt>
                <c:pt idx="2" formatCode="General">
                  <c:v>40.380000000000003</c:v>
                </c:pt>
                <c:pt idx="3" formatCode="General">
                  <c:v>36.79</c:v>
                </c:pt>
                <c:pt idx="4" formatCode="General">
                  <c:v>35.020000000000003</c:v>
                </c:pt>
                <c:pt idx="5" formatCode="General">
                  <c:v>29.93</c:v>
                </c:pt>
                <c:pt idx="6" formatCode="General">
                  <c:v>31.1</c:v>
                </c:pt>
                <c:pt idx="7" formatCode="General">
                  <c:v>42.24</c:v>
                </c:pt>
                <c:pt idx="8" formatCode="General">
                  <c:v>19.329999999999998</c:v>
                </c:pt>
                <c:pt idx="9" formatCode="General">
                  <c:v>28.61</c:v>
                </c:pt>
                <c:pt idx="10" formatCode="General">
                  <c:v>29.18</c:v>
                </c:pt>
                <c:pt idx="11" formatCode="General">
                  <c:v>35.229999999999997</c:v>
                </c:pt>
                <c:pt idx="12" formatCode="General">
                  <c:v>33.21</c:v>
                </c:pt>
              </c:numCache>
            </c:numRef>
          </c:val>
        </c:ser>
        <c:ser>
          <c:idx val="4"/>
          <c:order val="4"/>
          <c:tx>
            <c:strRef>
              <c:f>'Приложение №3'!$A$9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№3'!$B$9:$N$9</c:f>
              <c:numCache>
                <c:formatCode>0.000</c:formatCode>
                <c:ptCount val="13"/>
                <c:pt idx="0">
                  <c:v>3.2746890696488076</c:v>
                </c:pt>
                <c:pt idx="1">
                  <c:v>3.2012930529617121</c:v>
                </c:pt>
                <c:pt idx="2" formatCode="General">
                  <c:v>2.73</c:v>
                </c:pt>
                <c:pt idx="3" formatCode="General">
                  <c:v>2.75</c:v>
                </c:pt>
                <c:pt idx="4" formatCode="General">
                  <c:v>1.67</c:v>
                </c:pt>
                <c:pt idx="5" formatCode="General">
                  <c:v>4.2300000000000004</c:v>
                </c:pt>
                <c:pt idx="6" formatCode="General">
                  <c:v>3.76</c:v>
                </c:pt>
                <c:pt idx="7" formatCode="General">
                  <c:v>3.16</c:v>
                </c:pt>
                <c:pt idx="8" formatCode="General">
                  <c:v>5.27</c:v>
                </c:pt>
                <c:pt idx="9" formatCode="General">
                  <c:v>6.71</c:v>
                </c:pt>
                <c:pt idx="10" formatCode="General">
                  <c:v>3.54</c:v>
                </c:pt>
                <c:pt idx="11" formatCode="General">
                  <c:v>2.78</c:v>
                </c:pt>
                <c:pt idx="12" formatCode="General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5379200"/>
        <c:axId val="155380736"/>
      </c:barChart>
      <c:dateAx>
        <c:axId val="1553792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5380736"/>
        <c:crosses val="autoZero"/>
        <c:auto val="1"/>
        <c:lblOffset val="100"/>
        <c:baseTimeUnit val="months"/>
      </c:dateAx>
      <c:valAx>
        <c:axId val="1553807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5379200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изменения  объёмов потребления электрической энергии населением Астраханской области по месяцам (декабрь 2016 года,  2017 год) по группам населения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832866891117992E-2"/>
          <c:y val="0.1921330523365827"/>
          <c:w val="0.58062760896800292"/>
          <c:h val="0.75191684615849963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'Приложение №4'!$A$5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№4'!$B$5:$N$5</c:f>
              <c:numCache>
                <c:formatCode>_-* #,##0.00_р_._-;\-* #,##0.00_р_._-;_-* "-"??_р_._-;_-@_-</c:formatCode>
                <c:ptCount val="13"/>
                <c:pt idx="0">
                  <c:v>91.175000000000011</c:v>
                </c:pt>
                <c:pt idx="1">
                  <c:v>50.221000000000004</c:v>
                </c:pt>
                <c:pt idx="2">
                  <c:v>57.75</c:v>
                </c:pt>
                <c:pt idx="3">
                  <c:v>50.55</c:v>
                </c:pt>
                <c:pt idx="4">
                  <c:v>61.59</c:v>
                </c:pt>
                <c:pt idx="5">
                  <c:v>56.07</c:v>
                </c:pt>
                <c:pt idx="6">
                  <c:v>80.233999999999995</c:v>
                </c:pt>
                <c:pt idx="7">
                  <c:v>130.94</c:v>
                </c:pt>
                <c:pt idx="8">
                  <c:v>86.39</c:v>
                </c:pt>
                <c:pt idx="9">
                  <c:v>84.06</c:v>
                </c:pt>
                <c:pt idx="10">
                  <c:v>108.06</c:v>
                </c:pt>
                <c:pt idx="11">
                  <c:v>255.8</c:v>
                </c:pt>
                <c:pt idx="12">
                  <c:v>103.12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'Приложение №4'!$A$6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marker>
            <c:symbol val="none"/>
          </c:marker>
          <c:dPt>
            <c:idx val="4"/>
            <c:bubble3D val="0"/>
            <c:spPr>
              <a:ln>
                <a:prstDash val="solid"/>
              </a:ln>
            </c:spPr>
          </c:dPt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№4'!$B$6:$N$6</c:f>
              <c:numCache>
                <c:formatCode>_-* #,##0.00_р_._-;\-* #,##0.00_р_._-;_-* "-"??_р_._-;_-@_-</c:formatCode>
                <c:ptCount val="13"/>
                <c:pt idx="0">
                  <c:v>43026.406999999999</c:v>
                </c:pt>
                <c:pt idx="1">
                  <c:v>43066.834999999999</c:v>
                </c:pt>
                <c:pt idx="2">
                  <c:v>43883.72</c:v>
                </c:pt>
                <c:pt idx="3">
                  <c:v>40913.56</c:v>
                </c:pt>
                <c:pt idx="4">
                  <c:v>41925.629999999997</c:v>
                </c:pt>
                <c:pt idx="5">
                  <c:v>39789.339999999997</c:v>
                </c:pt>
                <c:pt idx="6">
                  <c:v>40411.050000000003</c:v>
                </c:pt>
                <c:pt idx="7">
                  <c:v>46848.9</c:v>
                </c:pt>
                <c:pt idx="8">
                  <c:v>55917.14</c:v>
                </c:pt>
                <c:pt idx="9">
                  <c:v>47843.16</c:v>
                </c:pt>
                <c:pt idx="10">
                  <c:v>46621.78</c:v>
                </c:pt>
                <c:pt idx="11">
                  <c:v>43999.62</c:v>
                </c:pt>
                <c:pt idx="12">
                  <c:v>43191.74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'Приложение №4'!$A$7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№4'!$B$7:$N$7</c:f>
              <c:numCache>
                <c:formatCode>_-* #,##0.00_р_._-;\-* #,##0.00_р_._-;_-* "-"??_р_._-;_-@_-</c:formatCode>
                <c:ptCount val="13"/>
                <c:pt idx="0">
                  <c:v>2594.0149999999999</c:v>
                </c:pt>
                <c:pt idx="1">
                  <c:v>5327.2380000000003</c:v>
                </c:pt>
                <c:pt idx="2">
                  <c:v>2774.39</c:v>
                </c:pt>
                <c:pt idx="3">
                  <c:v>2306.48</c:v>
                </c:pt>
                <c:pt idx="4">
                  <c:v>3010.23</c:v>
                </c:pt>
                <c:pt idx="5">
                  <c:v>1653.27</c:v>
                </c:pt>
                <c:pt idx="6">
                  <c:v>3966.556</c:v>
                </c:pt>
                <c:pt idx="7">
                  <c:v>3198.14</c:v>
                </c:pt>
                <c:pt idx="8">
                  <c:v>5116.8500000000004</c:v>
                </c:pt>
                <c:pt idx="9">
                  <c:v>4651.3999999999996</c:v>
                </c:pt>
                <c:pt idx="10">
                  <c:v>4778.01</c:v>
                </c:pt>
                <c:pt idx="11">
                  <c:v>2479.71</c:v>
                </c:pt>
                <c:pt idx="12">
                  <c:v>3224.13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'Приложение №4'!$A$8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№4'!$B$8:$N$8</c:f>
              <c:numCache>
                <c:formatCode>_-* #,##0.00_р_._-;\-* #,##0.00_р_._-;_-* "-"??_р_._-;_-@_-</c:formatCode>
                <c:ptCount val="13"/>
                <c:pt idx="0">
                  <c:v>30358.713</c:v>
                </c:pt>
                <c:pt idx="1">
                  <c:v>28894.661</c:v>
                </c:pt>
                <c:pt idx="2">
                  <c:v>33154.97</c:v>
                </c:pt>
                <c:pt idx="3">
                  <c:v>26336.52</c:v>
                </c:pt>
                <c:pt idx="4">
                  <c:v>24885.64</c:v>
                </c:pt>
                <c:pt idx="5">
                  <c:v>18862.34</c:v>
                </c:pt>
                <c:pt idx="6">
                  <c:v>21188.504000000001</c:v>
                </c:pt>
                <c:pt idx="7">
                  <c:v>38812.480000000003</c:v>
                </c:pt>
                <c:pt idx="8">
                  <c:v>15669.11</c:v>
                </c:pt>
                <c:pt idx="9">
                  <c:v>23252.91</c:v>
                </c:pt>
                <c:pt idx="10">
                  <c:v>22342.45</c:v>
                </c:pt>
                <c:pt idx="11">
                  <c:v>26560.36</c:v>
                </c:pt>
                <c:pt idx="12">
                  <c:v>27460.36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'Приложение №4'!$A$9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№4'!$B$9:$N$9</c:f>
              <c:numCache>
                <c:formatCode>_-* #,##0.00_р_._-;\-* #,##0.00_р_._-;_-* "-"??_р_._-;_-@_-</c:formatCode>
                <c:ptCount val="13"/>
                <c:pt idx="0">
                  <c:v>3445.7099999999996</c:v>
                </c:pt>
                <c:pt idx="1">
                  <c:v>2805.02</c:v>
                </c:pt>
                <c:pt idx="2">
                  <c:v>2243.54</c:v>
                </c:pt>
                <c:pt idx="3">
                  <c:v>1697.63</c:v>
                </c:pt>
                <c:pt idx="4">
                  <c:v>1185.3800000000001</c:v>
                </c:pt>
                <c:pt idx="5">
                  <c:v>2666.23</c:v>
                </c:pt>
                <c:pt idx="6">
                  <c:v>2559.2739999999999</c:v>
                </c:pt>
                <c:pt idx="7">
                  <c:v>2889.47</c:v>
                </c:pt>
                <c:pt idx="8">
                  <c:v>4275.18</c:v>
                </c:pt>
                <c:pt idx="9">
                  <c:v>5452.34</c:v>
                </c:pt>
                <c:pt idx="10">
                  <c:v>2707.18</c:v>
                </c:pt>
                <c:pt idx="11">
                  <c:v>2094.67</c:v>
                </c:pt>
                <c:pt idx="12">
                  <c:v>2707.75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59296"/>
        <c:axId val="155960832"/>
      </c:lineChart>
      <c:dateAx>
        <c:axId val="1559592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5960832"/>
        <c:crosses val="autoZero"/>
        <c:auto val="1"/>
        <c:lblOffset val="100"/>
        <c:baseTimeUnit val="months"/>
      </c:dateAx>
      <c:valAx>
        <c:axId val="155960832"/>
        <c:scaling>
          <c:orientation val="minMax"/>
        </c:scaling>
        <c:delete val="0"/>
        <c:axPos val="l"/>
        <c:majorGridlines/>
        <c:numFmt formatCode="_-* #,##0.00_р_._-;\-* #,##0.00_р_._-;_-* &quot;-&quot;??_р_._-;_-@_-" sourceLinked="1"/>
        <c:majorTickMark val="out"/>
        <c:minorTickMark val="none"/>
        <c:tickLblPos val="nextTo"/>
        <c:crossAx val="155959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1-й квартал 2017 года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layout>
        <c:manualLayout>
          <c:xMode val="edge"/>
          <c:yMode val="edge"/>
          <c:x val="0.14299513279388823"/>
          <c:y val="1.412437496407839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8333389334780154E-2"/>
          <c:y val="4.9905912184705727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dLbl>
              <c:idx val="4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населению, в т.ч.: </c:v>
                </c:pt>
              </c:strCache>
            </c:strRef>
          </c:cat>
          <c:val>
            <c:numRef>
              <c:f>'Приложение №5'!$B$6:$B$10</c:f>
              <c:numCache>
                <c:formatCode>_-* #,##0.00_р_._-;\-* #,##0.00_р_._-;_-* "-"??_р_._-;_-@_-</c:formatCode>
                <c:ptCount val="5"/>
                <c:pt idx="0">
                  <c:v>0.12</c:v>
                </c:pt>
                <c:pt idx="1">
                  <c:v>58.7</c:v>
                </c:pt>
                <c:pt idx="2">
                  <c:v>4.3099999999999996</c:v>
                </c:pt>
                <c:pt idx="3">
                  <c:v>33.270000000000003</c:v>
                </c:pt>
                <c:pt idx="4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ru-RU" sz="18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Информация о структуре потребления электроэнергии населением на территории Астраханской области за </a:t>
            </a:r>
            <a:r>
              <a:rPr lang="ru-RU" sz="18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2019 год, %</a:t>
            </a:r>
            <a:endParaRPr lang="ru-RU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3928570124638279"/>
          <c:y val="1.412441127544127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1429291199671702E-2"/>
          <c:y val="6.213562267543226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1167024344223331E-2"/>
                  <c:y val="-2.025586644983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6665544588724357"/>
                  <c:y val="-6.4480484349951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796908030256672E-2"/>
                  <c:y val="-8.83647681080826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1280354703198214"/>
                  <c:y val="2.4779544943958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6.8995818129907446E-2"/>
                  <c:y val="-3.1982583596920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2'!$A$6:$A$10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населению, в т.ч.: </c:v>
                </c:pt>
              </c:strCache>
            </c:strRef>
          </c:cat>
          <c:val>
            <c:numRef>
              <c:f>'Приложение № 2'!$B$6:$B$10</c:f>
              <c:numCache>
                <c:formatCode>_-* #,##0.00_р_._-;\-* #,##0.00_р_._-;_-* "-"??_р_._-;_-@_-</c:formatCode>
                <c:ptCount val="5"/>
                <c:pt idx="0">
                  <c:v>0.09</c:v>
                </c:pt>
                <c:pt idx="1">
                  <c:v>57.01</c:v>
                </c:pt>
                <c:pt idx="2">
                  <c:v>5.36</c:v>
                </c:pt>
                <c:pt idx="3">
                  <c:v>34.479999999999997</c:v>
                </c:pt>
                <c:pt idx="4">
                  <c:v>3.06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Потребители, приравненные к населению</a:t>
            </a:r>
          </a:p>
          <a:p>
            <a:pPr>
              <a:defRPr/>
            </a:pP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042061001122121E-2"/>
          <c:y val="0.24563501952779454"/>
          <c:w val="0.83987969067410406"/>
          <c:h val="0.66863934170501516"/>
        </c:manualLayout>
      </c:layout>
      <c:pie3DChart>
        <c:varyColors val="1"/>
        <c:ser>
          <c:idx val="0"/>
          <c:order val="0"/>
          <c:explosion val="52"/>
          <c:dPt>
            <c:idx val="0"/>
            <c:bubble3D val="0"/>
            <c:explosion val="72"/>
          </c:dPt>
          <c:dPt>
            <c:idx val="1"/>
            <c:bubble3D val="0"/>
            <c:explosion val="43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№5'!$A$11:$A$15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№5'!$B$11:$B$15</c:f>
              <c:numCache>
                <c:formatCode>_-* #,##0.00_р_._-;\-* #,##0.00_р_._-;_-* "-"??_р_._-;_-@_-</c:formatCode>
                <c:ptCount val="5"/>
                <c:pt idx="0">
                  <c:v>3.83</c:v>
                </c:pt>
                <c:pt idx="1">
                  <c:v>65.430000000000007</c:v>
                </c:pt>
                <c:pt idx="2">
                  <c:v>5.87</c:v>
                </c:pt>
                <c:pt idx="3">
                  <c:v>16.32</c:v>
                </c:pt>
                <c:pt idx="4">
                  <c:v>8.56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2-й квартал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№6'!$A$6:$A$10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№6'!$B$6:$B$10</c:f>
              <c:numCache>
                <c:formatCode>_-* #,##0.00_р_._-;\-* #,##0.00_р_._-;_-* "-"??_р_._-;_-@_-</c:formatCode>
                <c:ptCount val="5"/>
                <c:pt idx="0">
                  <c:v>0.1</c:v>
                </c:pt>
                <c:pt idx="1">
                  <c:v>60.35</c:v>
                </c:pt>
                <c:pt idx="2">
                  <c:v>4.2699999999999996</c:v>
                </c:pt>
                <c:pt idx="3">
                  <c:v>32.11</c:v>
                </c:pt>
                <c:pt idx="4">
                  <c:v>3.17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№6'!$A$11:$A$15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№6'!$B$11:$B$15</c:f>
              <c:numCache>
                <c:formatCode>_-* #,##0.00_р_._-;\-* #,##0.00_р_._-;_-* "-"??_р_._-;_-@_-</c:formatCode>
                <c:ptCount val="5"/>
                <c:pt idx="0">
                  <c:v>3.8936932215234101</c:v>
                </c:pt>
                <c:pt idx="1">
                  <c:v>74.196990116801445</c:v>
                </c:pt>
                <c:pt idx="2">
                  <c:v>5.7801737047020065</c:v>
                </c:pt>
                <c:pt idx="3">
                  <c:v>18.43272686433064</c:v>
                </c:pt>
                <c:pt idx="4">
                  <c:v>-2.3035839073574924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 sz="1800" b="1" i="0" baseline="0">
                <a:effectLst/>
              </a:rPr>
              <a:t>Информация о структуре потребления электроэнергии населением на территории Астраханской области за 1-ое полугодие 2017 года</a:t>
            </a:r>
            <a:endParaRPr lang="ru-RU">
              <a:effectLst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070041471402176E-2"/>
          <c:y val="0.32388902878155823"/>
          <c:w val="0.52909357629389986"/>
          <c:h val="0.60092259103139345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7'!$A$7:$A$11</c:f>
              <c:strCache>
                <c:ptCount val="5"/>
                <c:pt idx="0">
                  <c:v>Население, осуществляющее оплату по зонным тарифам (ночь)-(полупик (день) </c:v>
                </c:pt>
                <c:pt idx="1">
                  <c:v>Население, проживающее в городских населенных пунктах в домах с газовыми плитами</c:v>
                </c:pt>
                <c:pt idx="2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  <c:pt idx="3">
                  <c:v>Население, проживающее в сельских населенных пунктах</c:v>
                </c:pt>
                <c:pt idx="4">
                  <c:v>Потребители, приравненные к населению , в т.ч.:</c:v>
                </c:pt>
              </c:strCache>
            </c:strRef>
          </c:cat>
          <c:val>
            <c:numRef>
              <c:f>'Приложение № 7'!$B$7:$B$11</c:f>
              <c:numCache>
                <c:formatCode>_-* #,##0.00_р_._-;\-* #,##0.00_р_._-;_-* "-"??_р_._-;_-@_-</c:formatCode>
                <c:ptCount val="5"/>
                <c:pt idx="0">
                  <c:v>0.08</c:v>
                </c:pt>
                <c:pt idx="1">
                  <c:v>57.9</c:v>
                </c:pt>
                <c:pt idx="2">
                  <c:v>3.77</c:v>
                </c:pt>
                <c:pt idx="3">
                  <c:v>35.24</c:v>
                </c:pt>
                <c:pt idx="4">
                  <c:v>3.01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Потребители,</a:t>
            </a:r>
            <a:r>
              <a:rPr lang="ru-RU" baseline="0"/>
              <a:t> приравненные к населению</a:t>
            </a:r>
            <a:endParaRPr lang="ru-RU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3.7037037037037035E-2"/>
          <c:w val="0.5805555555555556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7'!$A$12:$A$16</c:f>
              <c:strCache>
                <c:ptCount val="5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</c:strCache>
            </c:strRef>
          </c:cat>
          <c:val>
            <c:numRef>
              <c:f>'Приложение № 7'!$B$12:$B$16</c:f>
              <c:numCache>
                <c:formatCode>_-* #,##0.00_р_._-;\-* #,##0.00_р_._-;_-* "-"??_р_._-;_-@_-</c:formatCode>
                <c:ptCount val="5"/>
                <c:pt idx="0">
                  <c:v>4.1399999999999997</c:v>
                </c:pt>
                <c:pt idx="1">
                  <c:v>61.62</c:v>
                </c:pt>
                <c:pt idx="2">
                  <c:v>7.98</c:v>
                </c:pt>
                <c:pt idx="3">
                  <c:v>17.91</c:v>
                </c:pt>
                <c:pt idx="4">
                  <c:v>8.35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Потребители, приравненные к населению,%</a:t>
            </a:r>
          </a:p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rich>
      </c:tx>
      <c:layout>
        <c:manualLayout>
          <c:xMode val="edge"/>
          <c:yMode val="edge"/>
          <c:x val="0.18695008607110097"/>
          <c:y val="1.8120043145677538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8042061001122121E-2"/>
          <c:y val="0.24563501952779454"/>
          <c:w val="0.83987969067410406"/>
          <c:h val="0.66863934170501516"/>
        </c:manualLayout>
      </c:layout>
      <c:pie3DChart>
        <c:varyColors val="1"/>
        <c:ser>
          <c:idx val="0"/>
          <c:order val="0"/>
          <c:tx>
            <c:strRef>
              <c:f>'Приложение № 2'!$A$11:$A$17</c:f>
              <c:strCache>
                <c:ptCount val="1"/>
                <c:pt idx="0">
                  <c:v>Исполнители коммунальных услуг Садоводческие, огороднические или дачные некоммерческие объединения граждан Религиозные организации Бюджетные организации (в т.ч. проживание военнослужащих, содержание осужденных и т.п.) Некоммерческие объединения граждан  (</c:v>
                </c:pt>
              </c:strCache>
            </c:strRef>
          </c:tx>
          <c:explosion val="19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0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50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hade val="70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0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1">
                      <a:shade val="90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90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9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tint val="90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90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9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1">
                      <a:tint val="70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0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50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Lbls>
            <c:dLbl>
              <c:idx val="0"/>
              <c:layout>
                <c:manualLayout>
                  <c:x val="9.0771642952951453E-2"/>
                  <c:y val="-4.482911041595043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20832334957293383"/>
                  <c:y val="-0.1256525316956853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8532734429536825E-2"/>
                  <c:y val="5.719345969844370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0567338301457175E-4"/>
                  <c:y val="-4.26448669978981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4034523465794723E-4"/>
                  <c:y val="-4.817884495299647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7.8606488774208685E-2"/>
                  <c:y val="-1.1668474690754434E-17"/>
                </c:manualLayout>
              </c:layout>
              <c:tx>
                <c:rich>
                  <a:bodyPr/>
                  <a:lstStyle/>
                  <a:p>
                    <a:endParaRPr lang="ru-RU" baseline="0"/>
                  </a:p>
                  <a:p>
                    <a:r>
                      <a:rPr lang="ru-RU" baseline="0"/>
                      <a:t>Гарантирующие поставщики,энергосбытовые, энергоснабжающии организации,преобретающие электрическую энергию (мощность) в целях дальнейшей продажи; </a:t>
                    </a:r>
                    <a:fld id="{C35669D5-E51C-40EB-987B-22E157BFAD1B}" type="VALUE">
                      <a:rPr lang="en-US" baseline="0"/>
                      <a:pPr/>
                      <a:t>[ЗНАЧЕНИЕ]</a:t>
                    </a:fld>
                    <a:endParaRPr lang="ru-RU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'Приложение № 2'!$A$11:$A$17</c:f>
              <c:strCache>
                <c:ptCount val="6"/>
                <c:pt idx="0">
                  <c:v>Исполнители коммунальных услуг</c:v>
                </c:pt>
                <c:pt idx="1">
                  <c:v>Садоводческие, огороднические или дачные некоммерческие объединения граждан</c:v>
                </c:pt>
                <c:pt idx="2">
                  <c:v>Религиозные организации</c:v>
                </c:pt>
                <c:pt idx="3">
                  <c:v>Бюджетные организации (в т.ч. проживание военнослужащих, содержание осужденных и т.п.)</c:v>
                </c:pt>
                <c:pt idx="4">
                  <c:v>Некоммерческие объединения граждан  (гаражно-строительные, гаражные кооперативы)</c:v>
                </c:pt>
                <c:pt idx="5">
                  <c:v>Гарантирующие поставщики,энергосбытовые, энергоснабжающии организации,преобретающие электрическую энергию (мощность) в целях дальнейшей продажи</c:v>
                </c:pt>
              </c:strCache>
            </c:strRef>
          </c:cat>
          <c:val>
            <c:numRef>
              <c:f>'Приложение № 2'!$B$11:$B$17</c:f>
              <c:numCache>
                <c:formatCode>_-* #,##0.00_р_._-;\-* #,##0.00_р_._-;_-* "-"??_р_._-;_-@_-</c:formatCode>
                <c:ptCount val="6"/>
                <c:pt idx="0">
                  <c:v>4.37</c:v>
                </c:pt>
                <c:pt idx="1">
                  <c:v>43.94</c:v>
                </c:pt>
                <c:pt idx="2">
                  <c:v>8.48</c:v>
                </c:pt>
                <c:pt idx="3">
                  <c:v>3.03</c:v>
                </c:pt>
                <c:pt idx="4">
                  <c:v>13.65</c:v>
                </c:pt>
                <c:pt idx="5" formatCode="General">
                  <c:v>26.53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2019 год, %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'Приложение № 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3'!$B$5:$M$5</c:f>
              <c:numCache>
                <c:formatCode>General</c:formatCode>
                <c:ptCount val="12"/>
                <c:pt idx="0" formatCode="0.000">
                  <c:v>0.06</c:v>
                </c:pt>
                <c:pt idx="1">
                  <c:v>0.17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0.12</c:v>
                </c:pt>
                <c:pt idx="6" formatCode="0.000">
                  <c:v>0.05</c:v>
                </c:pt>
                <c:pt idx="7" formatCode="0.00">
                  <c:v>0.09</c:v>
                </c:pt>
                <c:pt idx="8">
                  <c:v>0.15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'Приложение № 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3'!$B$6:$M$6</c:f>
              <c:numCache>
                <c:formatCode>General</c:formatCode>
                <c:ptCount val="12"/>
                <c:pt idx="0" formatCode="0.000">
                  <c:v>49.15</c:v>
                </c:pt>
                <c:pt idx="1">
                  <c:v>52.8</c:v>
                </c:pt>
                <c:pt idx="2">
                  <c:v>53.02</c:v>
                </c:pt>
                <c:pt idx="3">
                  <c:v>55.29</c:v>
                </c:pt>
                <c:pt idx="4">
                  <c:v>56.89</c:v>
                </c:pt>
                <c:pt idx="5">
                  <c:v>61.39</c:v>
                </c:pt>
                <c:pt idx="6" formatCode="0.000">
                  <c:v>59.65</c:v>
                </c:pt>
                <c:pt idx="7" formatCode="0.00">
                  <c:v>60.21</c:v>
                </c:pt>
                <c:pt idx="8">
                  <c:v>62.08</c:v>
                </c:pt>
                <c:pt idx="9">
                  <c:v>60.65</c:v>
                </c:pt>
                <c:pt idx="10">
                  <c:v>55.59</c:v>
                </c:pt>
                <c:pt idx="11">
                  <c:v>53.71</c:v>
                </c:pt>
              </c:numCache>
            </c:numRef>
          </c:val>
        </c:ser>
        <c:ser>
          <c:idx val="2"/>
          <c:order val="2"/>
          <c:tx>
            <c:strRef>
              <c:f>'Приложение № 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1.8387987402924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3'!$B$7:$M$7</c:f>
              <c:numCache>
                <c:formatCode>General</c:formatCode>
                <c:ptCount val="12"/>
                <c:pt idx="0" formatCode="0.000">
                  <c:v>6.08</c:v>
                </c:pt>
                <c:pt idx="1">
                  <c:v>4.9000000000000004</c:v>
                </c:pt>
                <c:pt idx="2">
                  <c:v>5.33</c:v>
                </c:pt>
                <c:pt idx="3">
                  <c:v>5.0599999999999996</c:v>
                </c:pt>
                <c:pt idx="4">
                  <c:v>4.82</c:v>
                </c:pt>
                <c:pt idx="5">
                  <c:v>5.33</c:v>
                </c:pt>
                <c:pt idx="6" formatCode="0.000">
                  <c:v>4.9800000000000004</c:v>
                </c:pt>
                <c:pt idx="7" formatCode="0.00">
                  <c:v>5.13</c:v>
                </c:pt>
                <c:pt idx="8">
                  <c:v>5.45</c:v>
                </c:pt>
                <c:pt idx="9">
                  <c:v>5.05</c:v>
                </c:pt>
                <c:pt idx="10">
                  <c:v>5.65</c:v>
                </c:pt>
                <c:pt idx="11">
                  <c:v>6.23</c:v>
                </c:pt>
              </c:numCache>
            </c:numRef>
          </c:val>
        </c:ser>
        <c:ser>
          <c:idx val="3"/>
          <c:order val="3"/>
          <c:tx>
            <c:strRef>
              <c:f>'Приложение № 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3'!$B$8:$M$8</c:f>
              <c:numCache>
                <c:formatCode>General</c:formatCode>
                <c:ptCount val="12"/>
                <c:pt idx="0" formatCode="0.000">
                  <c:v>32.979999999999997</c:v>
                </c:pt>
                <c:pt idx="1">
                  <c:v>39.08</c:v>
                </c:pt>
                <c:pt idx="2">
                  <c:v>38.590000000000003</c:v>
                </c:pt>
                <c:pt idx="3">
                  <c:v>36.42</c:v>
                </c:pt>
                <c:pt idx="4">
                  <c:v>33.22</c:v>
                </c:pt>
                <c:pt idx="5">
                  <c:v>29.16</c:v>
                </c:pt>
                <c:pt idx="6" formatCode="0.000">
                  <c:v>32.020000000000003</c:v>
                </c:pt>
                <c:pt idx="7" formatCode="0.00">
                  <c:v>31.79</c:v>
                </c:pt>
                <c:pt idx="8">
                  <c:v>30.62</c:v>
                </c:pt>
                <c:pt idx="9">
                  <c:v>33.93</c:v>
                </c:pt>
                <c:pt idx="10">
                  <c:v>35.83</c:v>
                </c:pt>
                <c:pt idx="11">
                  <c:v>38.22</c:v>
                </c:pt>
              </c:numCache>
            </c:numRef>
          </c:val>
        </c:ser>
        <c:ser>
          <c:idx val="4"/>
          <c:order val="4"/>
          <c:tx>
            <c:strRef>
              <c:f>'Приложение № 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 3'!$B$4:$M$4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3'!$B$9:$M$9</c:f>
              <c:numCache>
                <c:formatCode>General</c:formatCode>
                <c:ptCount val="12"/>
                <c:pt idx="0" formatCode="0.000">
                  <c:v>3.2</c:v>
                </c:pt>
                <c:pt idx="1">
                  <c:v>3.03</c:v>
                </c:pt>
                <c:pt idx="2">
                  <c:v>2.96</c:v>
                </c:pt>
                <c:pt idx="3">
                  <c:v>3.13</c:v>
                </c:pt>
                <c:pt idx="4">
                  <c:v>5.03</c:v>
                </c:pt>
                <c:pt idx="5">
                  <c:v>3.99</c:v>
                </c:pt>
                <c:pt idx="6" formatCode="0.000">
                  <c:v>3.3</c:v>
                </c:pt>
                <c:pt idx="7" formatCode="0.00">
                  <c:v>2.78</c:v>
                </c:pt>
                <c:pt idx="8">
                  <c:v>1.71</c:v>
                </c:pt>
                <c:pt idx="9">
                  <c:v>0.31</c:v>
                </c:pt>
                <c:pt idx="10">
                  <c:v>2.87</c:v>
                </c:pt>
                <c:pt idx="11">
                  <c:v>1.79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564800"/>
        <c:axId val="147574784"/>
      </c:barChart>
      <c:dateAx>
        <c:axId val="1475648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47574784"/>
        <c:crosses val="autoZero"/>
        <c:auto val="1"/>
        <c:lblOffset val="100"/>
        <c:baseTimeUnit val="months"/>
      </c:dateAx>
      <c:valAx>
        <c:axId val="14757478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7564800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изменения  объёмов потребления электрической энергии населением Астраханской области по месяцам (</a:t>
            </a:r>
            <a:r>
              <a:rPr lang="ru-RU" sz="1800" b="1" i="0" u="none" strike="noStrike" baseline="0">
                <a:effectLst/>
              </a:rPr>
              <a:t>за 2019 год</a:t>
            </a:r>
            <a:r>
              <a:rPr lang="ru-RU"/>
              <a:t>) по группам населения, %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832866891117992E-2"/>
          <c:y val="0.1921330523365827"/>
          <c:w val="0.58062760896800292"/>
          <c:h val="0.75191684615849963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'Приложение № 4'!$A$5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4'!$B$5:$M$5</c:f>
              <c:numCache>
                <c:formatCode>_-* #,##0.00_р_._-;\-* #,##0.00_р_._-;_-* "-"??_р_._-;_-@_-</c:formatCode>
                <c:ptCount val="12"/>
                <c:pt idx="0">
                  <c:v>50.22</c:v>
                </c:pt>
                <c:pt idx="1">
                  <c:v>135.54</c:v>
                </c:pt>
                <c:pt idx="2">
                  <c:v>55.67</c:v>
                </c:pt>
                <c:pt idx="3">
                  <c:v>60.97</c:v>
                </c:pt>
                <c:pt idx="4">
                  <c:v>39.56</c:v>
                </c:pt>
                <c:pt idx="5">
                  <c:v>90.8</c:v>
                </c:pt>
                <c:pt idx="6" formatCode="General">
                  <c:v>40.74</c:v>
                </c:pt>
                <c:pt idx="7" formatCode="General">
                  <c:v>68.95</c:v>
                </c:pt>
                <c:pt idx="8" formatCode="General">
                  <c:v>98.45</c:v>
                </c:pt>
                <c:pt idx="9" formatCode="General">
                  <c:v>37.07</c:v>
                </c:pt>
                <c:pt idx="10" formatCode="General">
                  <c:v>49.99</c:v>
                </c:pt>
                <c:pt idx="11" formatCode="General">
                  <c:v>33.94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'Приложение № 4'!$A$6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marker>
            <c:symbol val="none"/>
          </c:marker>
          <c:dPt>
            <c:idx val="4"/>
            <c:bubble3D val="0"/>
            <c:spPr>
              <a:ln>
                <a:prstDash val="solid"/>
              </a:ln>
            </c:spPr>
          </c:dPt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4'!$B$6:$M$6</c:f>
              <c:numCache>
                <c:formatCode>_-* #,##0.00_р_._-;\-* #,##0.00_р_._-;_-* "-"??_р_._-;_-@_-</c:formatCode>
                <c:ptCount val="12"/>
                <c:pt idx="0">
                  <c:v>43066.84</c:v>
                </c:pt>
                <c:pt idx="1">
                  <c:v>43655.14</c:v>
                </c:pt>
                <c:pt idx="2">
                  <c:v>37994.980000000003</c:v>
                </c:pt>
                <c:pt idx="3">
                  <c:v>41023.17</c:v>
                </c:pt>
                <c:pt idx="4">
                  <c:v>38403.58</c:v>
                </c:pt>
                <c:pt idx="5">
                  <c:v>48369.38</c:v>
                </c:pt>
                <c:pt idx="6" formatCode="General">
                  <c:v>49273.71</c:v>
                </c:pt>
                <c:pt idx="7" formatCode="General">
                  <c:v>46193.27</c:v>
                </c:pt>
                <c:pt idx="8" formatCode="General">
                  <c:v>42099.32</c:v>
                </c:pt>
                <c:pt idx="9" formatCode="General">
                  <c:v>40160.120000000003</c:v>
                </c:pt>
                <c:pt idx="10" formatCode="General">
                  <c:v>39770.660000000003</c:v>
                </c:pt>
                <c:pt idx="11" formatCode="General">
                  <c:v>35480.959999999999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'Приложение № 4'!$A$7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4'!$B$7:$M$7</c:f>
              <c:numCache>
                <c:formatCode>_-* #,##0.00_р_._-;\-* #,##0.00_р_._-;_-* "-"??_р_._-;_-@_-</c:formatCode>
                <c:ptCount val="12"/>
                <c:pt idx="0">
                  <c:v>5327.24</c:v>
                </c:pt>
                <c:pt idx="1">
                  <c:v>4033.41</c:v>
                </c:pt>
                <c:pt idx="2">
                  <c:v>3759.35</c:v>
                </c:pt>
                <c:pt idx="3">
                  <c:v>3709.37</c:v>
                </c:pt>
                <c:pt idx="4">
                  <c:v>3255.51</c:v>
                </c:pt>
                <c:pt idx="5">
                  <c:v>1439.3</c:v>
                </c:pt>
                <c:pt idx="6" formatCode="General">
                  <c:v>4115.04</c:v>
                </c:pt>
                <c:pt idx="7" formatCode="General">
                  <c:v>3937.22</c:v>
                </c:pt>
                <c:pt idx="8" formatCode="General">
                  <c:v>3693.2</c:v>
                </c:pt>
                <c:pt idx="9" formatCode="General">
                  <c:v>3342.98</c:v>
                </c:pt>
                <c:pt idx="10" formatCode="General">
                  <c:v>4039.54</c:v>
                </c:pt>
                <c:pt idx="11" formatCode="General">
                  <c:v>4228.2299999999996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'Приложение № 4'!$A$8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4'!$B$8:$M$8</c:f>
              <c:numCache>
                <c:formatCode>_-* #,##0.00_р_._-;\-* #,##0.00_р_._-;_-* "-"??_р_._-;_-@_-</c:formatCode>
                <c:ptCount val="12"/>
                <c:pt idx="0">
                  <c:v>28894.66</c:v>
                </c:pt>
                <c:pt idx="1">
                  <c:v>31887.47</c:v>
                </c:pt>
                <c:pt idx="2">
                  <c:v>27212.42</c:v>
                </c:pt>
                <c:pt idx="3">
                  <c:v>26679.53</c:v>
                </c:pt>
                <c:pt idx="4">
                  <c:v>22899.82</c:v>
                </c:pt>
                <c:pt idx="5">
                  <c:v>22639.81</c:v>
                </c:pt>
                <c:pt idx="6" formatCode="General">
                  <c:v>26452.33</c:v>
                </c:pt>
                <c:pt idx="7" formatCode="General">
                  <c:v>24390.09</c:v>
                </c:pt>
                <c:pt idx="8" formatCode="General">
                  <c:v>20767.53</c:v>
                </c:pt>
                <c:pt idx="9" formatCode="General">
                  <c:v>22884.26</c:v>
                </c:pt>
                <c:pt idx="10" formatCode="General">
                  <c:v>25634.54</c:v>
                </c:pt>
                <c:pt idx="11" formatCode="General">
                  <c:v>25963.51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'Приложение № 4'!$A$9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marker>
            <c:symbol val="none"/>
          </c:marker>
          <c:cat>
            <c:numRef>
              <c:f>'Приложение № 4'!$B$4:$M$4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'Приложение № 4'!$B$9:$M$9</c:f>
              <c:numCache>
                <c:formatCode>_-* #,##0.00_р_._-;\-* #,##0.00_р_._-;_-* "-"??_р_._-;_-@_-</c:formatCode>
                <c:ptCount val="12"/>
                <c:pt idx="0">
                  <c:v>2805.02</c:v>
                </c:pt>
                <c:pt idx="1">
                  <c:v>2490.85</c:v>
                </c:pt>
                <c:pt idx="2">
                  <c:v>2106.35</c:v>
                </c:pt>
                <c:pt idx="3">
                  <c:v>2306.75</c:v>
                </c:pt>
                <c:pt idx="4">
                  <c:v>3424.36</c:v>
                </c:pt>
                <c:pt idx="5">
                  <c:v>3129.88</c:v>
                </c:pt>
                <c:pt idx="6" formatCode="General">
                  <c:v>2725.81</c:v>
                </c:pt>
                <c:pt idx="7" formatCode="General">
                  <c:v>2134.91</c:v>
                </c:pt>
                <c:pt idx="8" formatCode="General">
                  <c:v>1160.8800000000001</c:v>
                </c:pt>
                <c:pt idx="9" formatCode="General">
                  <c:v>-203.45</c:v>
                </c:pt>
                <c:pt idx="10" formatCode="General">
                  <c:v>2053.85</c:v>
                </c:pt>
                <c:pt idx="11" formatCode="General">
                  <c:v>1216.68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402368"/>
        <c:axId val="151403904"/>
      </c:lineChart>
      <c:dateAx>
        <c:axId val="1514023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1403904"/>
        <c:crosses val="autoZero"/>
        <c:auto val="1"/>
        <c:lblOffset val="100"/>
        <c:baseTimeUnit val="months"/>
      </c:dateAx>
      <c:valAx>
        <c:axId val="151403904"/>
        <c:scaling>
          <c:orientation val="minMax"/>
        </c:scaling>
        <c:delete val="0"/>
        <c:axPos val="l"/>
        <c:majorGridlines/>
        <c:numFmt formatCode="_-* #,##0.00_р_._-;\-* #,##0.00_р_._-;_-* &quot;-&quot;??_р_._-;_-@_-" sourceLinked="1"/>
        <c:majorTickMark val="out"/>
        <c:minorTickMark val="none"/>
        <c:tickLblPos val="nextTo"/>
        <c:crossAx val="151402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Динамика структуры потребления электрической энергии населением на территории Астраханской области за декабрь 2016 года и  2017 год</a:t>
            </a:r>
          </a:p>
        </c:rich>
      </c:tx>
      <c:layout>
        <c:manualLayout>
          <c:xMode val="edge"/>
          <c:yMode val="edge"/>
          <c:x val="0.14401295582733009"/>
          <c:y val="1.4981288135193347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'Приложение №3'!$A$5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invertIfNegative val="0"/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№3'!$B$5:$N$5</c:f>
              <c:numCache>
                <c:formatCode>0.000</c:formatCode>
                <c:ptCount val="13"/>
                <c:pt idx="0">
                  <c:v>0.12471475745662682</c:v>
                </c:pt>
                <c:pt idx="1">
                  <c:v>5.7315861709645623E-2</c:v>
                </c:pt>
                <c:pt idx="2" formatCode="General">
                  <c:v>7.0000000000000007E-2</c:v>
                </c:pt>
                <c:pt idx="3" formatCode="General">
                  <c:v>7.0000000000000007E-2</c:v>
                </c:pt>
                <c:pt idx="4" formatCode="General">
                  <c:v>0.09</c:v>
                </c:pt>
                <c:pt idx="5" formatCode="General">
                  <c:v>0.09</c:v>
                </c:pt>
                <c:pt idx="6" formatCode="General">
                  <c:v>0.12</c:v>
                </c:pt>
                <c:pt idx="7" formatCode="General">
                  <c:v>0.14000000000000001</c:v>
                </c:pt>
                <c:pt idx="8" formatCode="General">
                  <c:v>0.11</c:v>
                </c:pt>
                <c:pt idx="9" formatCode="General">
                  <c:v>0.1</c:v>
                </c:pt>
                <c:pt idx="10" formatCode="General">
                  <c:v>0.14000000000000001</c:v>
                </c:pt>
                <c:pt idx="11" formatCode="General">
                  <c:v>0.34</c:v>
                </c:pt>
                <c:pt idx="12" formatCode="General">
                  <c:v>0.13</c:v>
                </c:pt>
              </c:numCache>
            </c:numRef>
          </c:val>
        </c:ser>
        <c:ser>
          <c:idx val="1"/>
          <c:order val="1"/>
          <c:tx>
            <c:strRef>
              <c:f>'Приложение №3'!$A$6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№3'!$B$6:$N$6</c:f>
              <c:numCache>
                <c:formatCode>0.000</c:formatCode>
                <c:ptCount val="13"/>
                <c:pt idx="0">
                  <c:v>59.49143788316065</c:v>
                </c:pt>
                <c:pt idx="1">
                  <c:v>49.151007728482625</c:v>
                </c:pt>
                <c:pt idx="2" formatCode="General">
                  <c:v>53.44</c:v>
                </c:pt>
                <c:pt idx="3" formatCode="General">
                  <c:v>57.17</c:v>
                </c:pt>
                <c:pt idx="4" formatCode="General">
                  <c:v>58.99</c:v>
                </c:pt>
                <c:pt idx="5" formatCode="General">
                  <c:v>63.13</c:v>
                </c:pt>
                <c:pt idx="6" formatCode="General">
                  <c:v>59.2</c:v>
                </c:pt>
                <c:pt idx="7" formatCode="General">
                  <c:v>50.98</c:v>
                </c:pt>
                <c:pt idx="8" formatCode="General">
                  <c:v>68.98</c:v>
                </c:pt>
                <c:pt idx="9" formatCode="General">
                  <c:v>58.86</c:v>
                </c:pt>
                <c:pt idx="10" formatCode="General">
                  <c:v>60.9</c:v>
                </c:pt>
                <c:pt idx="11" formatCode="General">
                  <c:v>58.36</c:v>
                </c:pt>
                <c:pt idx="12" formatCode="General">
                  <c:v>59.49</c:v>
                </c:pt>
              </c:numCache>
            </c:numRef>
          </c:val>
        </c:ser>
        <c:ser>
          <c:idx val="2"/>
          <c:order val="2"/>
          <c:tx>
            <c:strRef>
              <c:f>'Приложение №3'!$A$7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№3'!$B$7:$N$7</c:f>
              <c:numCache>
                <c:formatCode>0.000</c:formatCode>
                <c:ptCount val="13"/>
                <c:pt idx="0">
                  <c:v>3.8991880316209468</c:v>
                </c:pt>
                <c:pt idx="1">
                  <c:v>6.0798318731679801</c:v>
                </c:pt>
                <c:pt idx="2" formatCode="General">
                  <c:v>3.38</c:v>
                </c:pt>
                <c:pt idx="3" formatCode="General">
                  <c:v>3.22</c:v>
                </c:pt>
                <c:pt idx="4" formatCode="General">
                  <c:v>4.2300000000000004</c:v>
                </c:pt>
                <c:pt idx="5" formatCode="General">
                  <c:v>2.62</c:v>
                </c:pt>
                <c:pt idx="6" formatCode="General">
                  <c:v>5.82</c:v>
                </c:pt>
                <c:pt idx="7" formatCode="General">
                  <c:v>3.48</c:v>
                </c:pt>
                <c:pt idx="8" formatCode="General">
                  <c:v>6.31</c:v>
                </c:pt>
                <c:pt idx="9" formatCode="General">
                  <c:v>5.72</c:v>
                </c:pt>
                <c:pt idx="10" formatCode="General">
                  <c:v>6.24</c:v>
                </c:pt>
                <c:pt idx="11" formatCode="General">
                  <c:v>3.29</c:v>
                </c:pt>
                <c:pt idx="12" formatCode="General">
                  <c:v>3.9</c:v>
                </c:pt>
              </c:numCache>
            </c:numRef>
          </c:val>
        </c:ser>
        <c:ser>
          <c:idx val="3"/>
          <c:order val="3"/>
          <c:tx>
            <c:strRef>
              <c:f>'Приложение №3'!$A$8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№3'!$B$8:$N$8</c:f>
              <c:numCache>
                <c:formatCode>0.000</c:formatCode>
                <c:ptCount val="13"/>
                <c:pt idx="0">
                  <c:v>33.209970258112975</c:v>
                </c:pt>
                <c:pt idx="1">
                  <c:v>32.976690906654405</c:v>
                </c:pt>
                <c:pt idx="2" formatCode="General">
                  <c:v>40.380000000000003</c:v>
                </c:pt>
                <c:pt idx="3" formatCode="General">
                  <c:v>36.79</c:v>
                </c:pt>
                <c:pt idx="4" formatCode="General">
                  <c:v>35.020000000000003</c:v>
                </c:pt>
                <c:pt idx="5" formatCode="General">
                  <c:v>29.93</c:v>
                </c:pt>
                <c:pt idx="6" formatCode="General">
                  <c:v>31.1</c:v>
                </c:pt>
                <c:pt idx="7" formatCode="General">
                  <c:v>42.24</c:v>
                </c:pt>
                <c:pt idx="8" formatCode="General">
                  <c:v>19.329999999999998</c:v>
                </c:pt>
                <c:pt idx="9" formatCode="General">
                  <c:v>28.61</c:v>
                </c:pt>
                <c:pt idx="10" formatCode="General">
                  <c:v>29.18</c:v>
                </c:pt>
                <c:pt idx="11" formatCode="General">
                  <c:v>35.229999999999997</c:v>
                </c:pt>
                <c:pt idx="12" formatCode="General">
                  <c:v>33.21</c:v>
                </c:pt>
              </c:numCache>
            </c:numRef>
          </c:val>
        </c:ser>
        <c:ser>
          <c:idx val="4"/>
          <c:order val="4"/>
          <c:tx>
            <c:strRef>
              <c:f>'Приложение №3'!$A$9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'Приложение №3'!$B$4:$N$4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№3'!$B$9:$N$9</c:f>
              <c:numCache>
                <c:formatCode>0.000</c:formatCode>
                <c:ptCount val="13"/>
                <c:pt idx="0">
                  <c:v>3.2746890696488076</c:v>
                </c:pt>
                <c:pt idx="1">
                  <c:v>3.2012930529617121</c:v>
                </c:pt>
                <c:pt idx="2" formatCode="General">
                  <c:v>2.73</c:v>
                </c:pt>
                <c:pt idx="3" formatCode="General">
                  <c:v>2.75</c:v>
                </c:pt>
                <c:pt idx="4" formatCode="General">
                  <c:v>1.67</c:v>
                </c:pt>
                <c:pt idx="5" formatCode="General">
                  <c:v>4.2300000000000004</c:v>
                </c:pt>
                <c:pt idx="6" formatCode="General">
                  <c:v>3.76</c:v>
                </c:pt>
                <c:pt idx="7" formatCode="General">
                  <c:v>3.16</c:v>
                </c:pt>
                <c:pt idx="8" formatCode="General">
                  <c:v>5.27</c:v>
                </c:pt>
                <c:pt idx="9" formatCode="General">
                  <c:v>6.71</c:v>
                </c:pt>
                <c:pt idx="10" formatCode="General">
                  <c:v>3.54</c:v>
                </c:pt>
                <c:pt idx="11" formatCode="General">
                  <c:v>2.78</c:v>
                </c:pt>
                <c:pt idx="12" formatCode="General">
                  <c:v>3.27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1482752"/>
        <c:axId val="151484288"/>
      </c:barChart>
      <c:dateAx>
        <c:axId val="1514827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1484288"/>
        <c:crosses val="autoZero"/>
        <c:auto val="1"/>
        <c:lblOffset val="100"/>
        <c:baseTimeUnit val="months"/>
      </c:dateAx>
      <c:valAx>
        <c:axId val="1514842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482752"/>
        <c:crosses val="autoZero"/>
        <c:crossBetween val="between"/>
      </c:valAx>
      <c:spPr>
        <a:scene3d>
          <a:camera prst="orthographicFront"/>
          <a:lightRig rig="threePt" dir="t"/>
        </a:scene3d>
        <a:sp3d prstMaterial="matte"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потребления электрической энергии населением Астраханской области декабрь</a:t>
            </a:r>
            <a:r>
              <a:rPr lang="ru-RU" baseline="0"/>
              <a:t> 2014 года, январь-июнь 2015 года  (тыс. кВтч.)</a:t>
            </a:r>
            <a:endParaRPr lang="ru-RU"/>
          </a:p>
        </c:rich>
      </c:tx>
      <c:layout>
        <c:manualLayout>
          <c:xMode val="edge"/>
          <c:yMode val="edge"/>
          <c:x val="0.14922947131608549"/>
          <c:y val="1.36054421768707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462976417224655E-2"/>
          <c:y val="0.14775235222059971"/>
          <c:w val="0.54196595126357672"/>
          <c:h val="0.82011872067195857"/>
        </c:manualLayout>
      </c:layout>
      <c:lineChart>
        <c:grouping val="standard"/>
        <c:varyColors val="0"/>
        <c:ser>
          <c:idx val="0"/>
          <c:order val="0"/>
          <c:tx>
            <c:strRef>
              <c:f>Прил№4июнь!$A$4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Прил№4июнь!$B$4:$H$4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Прил№4июнь!$A$6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sys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Прил№4июнь!$B$6:$H$6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Прил№4июнь!$A$5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Прил№4июнь!$B$5:$H$5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Прил№4июнь!$A$7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lgDashDot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Прил№4июнь!$B$7:$H$7</c:f>
              <c:numCache>
                <c:formatCode>#,##0.0</c:formatCode>
                <c:ptCount val="7"/>
                <c:pt idx="0" formatCode="#,##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Прил№4июнь!$A$8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Прил№4июнь!$B$8:$H$8</c:f>
              <c:numCache>
                <c:formatCode>#,##0.0</c:formatCode>
                <c:ptCount val="7"/>
                <c:pt idx="0" formatCode="#,##0.0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65344"/>
        <c:axId val="155067136"/>
      </c:lineChart>
      <c:dateAx>
        <c:axId val="1550653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5067136"/>
        <c:crosses val="autoZero"/>
        <c:auto val="1"/>
        <c:lblOffset val="100"/>
        <c:baseTimeUnit val="months"/>
      </c:dateAx>
      <c:valAx>
        <c:axId val="155067136"/>
        <c:scaling>
          <c:orientation val="minMax"/>
          <c:max val="60000"/>
          <c:min val="0"/>
        </c:scaling>
        <c:delete val="0"/>
        <c:axPos val="l"/>
        <c:majorGridlines/>
        <c:numFmt formatCode="#,##0.0" sourceLinked="1"/>
        <c:majorTickMark val="none"/>
        <c:minorTickMark val="in"/>
        <c:tickLblPos val="nextTo"/>
        <c:crossAx val="155065344"/>
        <c:crosses val="autoZero"/>
        <c:crossBetween val="between"/>
        <c:majorUnit val="10000"/>
        <c:minorUnit val="100"/>
      </c:valAx>
    </c:plotArea>
    <c:legend>
      <c:legendPos val="r"/>
      <c:layout>
        <c:manualLayout>
          <c:xMode val="edge"/>
          <c:yMode val="edge"/>
          <c:x val="0.65864833906072073"/>
          <c:y val="0.13370700157807391"/>
          <c:w val="0.32173291810026688"/>
          <c:h val="0.41143371038011112"/>
        </c:manualLayout>
      </c:layout>
      <c:overlay val="0"/>
      <c:txPr>
        <a:bodyPr/>
        <a:lstStyle/>
        <a:p>
          <a:pPr>
            <a:defRPr sz="1050" b="1" baseline="0"/>
          </a:pPr>
          <a:endParaRPr lang="ru-RU"/>
        </a:p>
      </c:txPr>
    </c:legend>
    <c:plotVisOnly val="1"/>
    <c:dispBlanksAs val="zero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000000000000711" l="0.70000000000000062" r="0.70000000000000062" t="0.75000000000000711" header="0.30000000000000032" footer="0.30000000000000032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потребления электрической энергии населением Астраханской области декабрь</a:t>
            </a:r>
            <a:r>
              <a:rPr lang="ru-RU" baseline="0"/>
              <a:t> 2014 года, январь-июнь 2015 года  (тыс. кВтч.)</a:t>
            </a:r>
            <a:endParaRPr lang="ru-RU"/>
          </a:p>
        </c:rich>
      </c:tx>
      <c:layout>
        <c:manualLayout>
          <c:xMode val="edge"/>
          <c:yMode val="edge"/>
          <c:x val="0.14922947131608549"/>
          <c:y val="1.36054421768707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462976417224655E-2"/>
          <c:y val="0.14775235222059971"/>
          <c:w val="0.54196595126357694"/>
          <c:h val="0.82011872067195857"/>
        </c:manualLayout>
      </c:layout>
      <c:lineChart>
        <c:grouping val="standard"/>
        <c:varyColors val="0"/>
        <c:ser>
          <c:idx val="0"/>
          <c:order val="0"/>
          <c:tx>
            <c:strRef>
              <c:f>Прил№4июнь!$A$4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Прил№4июнь!$B$4:$H$4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Прил№4июнь!$A$6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sys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Прил№4июнь!$B$6:$H$6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Прил№4июнь!$A$5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Прил№4июнь!$B$5:$H$5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Прил№4июнь!$A$7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spPr>
            <a:ln>
              <a:solidFill>
                <a:srgbClr val="9BBB59">
                  <a:shade val="76000"/>
                  <a:shade val="95000"/>
                  <a:satMod val="105000"/>
                </a:srgbClr>
              </a:solidFill>
              <a:prstDash val="lgDashDotDot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Прил№4июнь!$B$7:$H$7</c:f>
              <c:numCache>
                <c:formatCode>#,##0.0</c:formatCode>
                <c:ptCount val="7"/>
                <c:pt idx="0" formatCode="#,##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Прил№4июнь!$A$8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Прил№4июнь!$B$3:$H$3</c:f>
              <c:numCache>
                <c:formatCode>mmm\-yy</c:formatCode>
                <c:ptCount val="7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</c:numCache>
            </c:numRef>
          </c:cat>
          <c:val>
            <c:numRef>
              <c:f>Прил№4июнь!$B$8:$H$8</c:f>
              <c:numCache>
                <c:formatCode>#,##0.0</c:formatCode>
                <c:ptCount val="7"/>
                <c:pt idx="0" formatCode="#,##0.0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51680"/>
        <c:axId val="154953216"/>
      </c:lineChart>
      <c:dateAx>
        <c:axId val="1549516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4953216"/>
        <c:crosses val="autoZero"/>
        <c:auto val="1"/>
        <c:lblOffset val="100"/>
        <c:baseTimeUnit val="months"/>
      </c:dateAx>
      <c:valAx>
        <c:axId val="154953216"/>
        <c:scaling>
          <c:orientation val="minMax"/>
          <c:max val="60000"/>
          <c:min val="0"/>
        </c:scaling>
        <c:delete val="0"/>
        <c:axPos val="l"/>
        <c:majorGridlines/>
        <c:numFmt formatCode="#,##0.0" sourceLinked="1"/>
        <c:majorTickMark val="none"/>
        <c:minorTickMark val="in"/>
        <c:tickLblPos val="nextTo"/>
        <c:crossAx val="154951680"/>
        <c:crosses val="autoZero"/>
        <c:crossBetween val="between"/>
        <c:majorUnit val="10000"/>
        <c:minorUnit val="100"/>
      </c:valAx>
    </c:plotArea>
    <c:legend>
      <c:legendPos val="r"/>
      <c:layout>
        <c:manualLayout>
          <c:xMode val="edge"/>
          <c:yMode val="edge"/>
          <c:x val="0.65864833906072096"/>
          <c:y val="0.13370700157807391"/>
          <c:w val="0.32173291810026688"/>
          <c:h val="0.41143371038011112"/>
        </c:manualLayout>
      </c:layout>
      <c:overlay val="0"/>
      <c:txPr>
        <a:bodyPr/>
        <a:lstStyle/>
        <a:p>
          <a:pPr>
            <a:defRPr sz="1050" b="1" baseline="0"/>
          </a:pPr>
          <a:endParaRPr lang="ru-RU"/>
        </a:p>
      </c:txPr>
    </c:legend>
    <c:plotVisOnly val="1"/>
    <c:dispBlanksAs val="zero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000000000000733" l="0.70000000000000062" r="0.70000000000000062" t="0.75000000000000733" header="0.30000000000000032" footer="0.30000000000000032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изменения  объёмов потребления электрической энергии населением Астраханской области по месяцам (декабрь 2016 года,  2017 год) по группам населения</a:t>
            </a:r>
          </a:p>
          <a:p>
            <a:pPr>
              <a:defRPr/>
            </a:pPr>
            <a:endParaRPr lang="ru-R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832866891117992E-2"/>
          <c:y val="0.1921330523365827"/>
          <c:w val="0.58062760896800292"/>
          <c:h val="0.75191684615849963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'Приложение №4'!$A$5</c:f>
              <c:strCache>
                <c:ptCount val="1"/>
                <c:pt idx="0">
                  <c:v>Население, осуществляющее оплату по зонным тарифам (ночь)-(полупик (день)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№4'!$B$5:$N$5</c:f>
              <c:numCache>
                <c:formatCode>_-* #,##0.00_р_._-;\-* #,##0.00_р_._-;_-* "-"??_р_._-;_-@_-</c:formatCode>
                <c:ptCount val="13"/>
                <c:pt idx="0">
                  <c:v>91.175000000000011</c:v>
                </c:pt>
                <c:pt idx="1">
                  <c:v>50.221000000000004</c:v>
                </c:pt>
                <c:pt idx="2">
                  <c:v>57.75</c:v>
                </c:pt>
                <c:pt idx="3">
                  <c:v>50.55</c:v>
                </c:pt>
                <c:pt idx="4">
                  <c:v>61.59</c:v>
                </c:pt>
                <c:pt idx="5">
                  <c:v>56.07</c:v>
                </c:pt>
                <c:pt idx="6">
                  <c:v>80.233999999999995</c:v>
                </c:pt>
                <c:pt idx="7">
                  <c:v>130.94</c:v>
                </c:pt>
                <c:pt idx="8">
                  <c:v>86.39</c:v>
                </c:pt>
                <c:pt idx="9">
                  <c:v>84.06</c:v>
                </c:pt>
                <c:pt idx="10">
                  <c:v>108.06</c:v>
                </c:pt>
                <c:pt idx="11">
                  <c:v>255.8</c:v>
                </c:pt>
                <c:pt idx="12">
                  <c:v>103.12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'Приложение №4'!$A$6</c:f>
              <c:strCache>
                <c:ptCount val="1"/>
                <c:pt idx="0">
                  <c:v>Население, проживающее в городских населенных пунктах в домах с газовыми плитами</c:v>
                </c:pt>
              </c:strCache>
            </c:strRef>
          </c:tx>
          <c:marker>
            <c:symbol val="none"/>
          </c:marker>
          <c:dPt>
            <c:idx val="4"/>
            <c:bubble3D val="0"/>
            <c:spPr>
              <a:ln>
                <a:prstDash val="solid"/>
              </a:ln>
            </c:spPr>
          </c:dPt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№4'!$B$6:$N$6</c:f>
              <c:numCache>
                <c:formatCode>_-* #,##0.00_р_._-;\-* #,##0.00_р_._-;_-* "-"??_р_._-;_-@_-</c:formatCode>
                <c:ptCount val="13"/>
                <c:pt idx="0">
                  <c:v>43026.406999999999</c:v>
                </c:pt>
                <c:pt idx="1">
                  <c:v>43066.834999999999</c:v>
                </c:pt>
                <c:pt idx="2">
                  <c:v>43883.72</c:v>
                </c:pt>
                <c:pt idx="3">
                  <c:v>40913.56</c:v>
                </c:pt>
                <c:pt idx="4">
                  <c:v>41925.629999999997</c:v>
                </c:pt>
                <c:pt idx="5">
                  <c:v>39789.339999999997</c:v>
                </c:pt>
                <c:pt idx="6">
                  <c:v>40411.050000000003</c:v>
                </c:pt>
                <c:pt idx="7">
                  <c:v>46848.9</c:v>
                </c:pt>
                <c:pt idx="8">
                  <c:v>55917.14</c:v>
                </c:pt>
                <c:pt idx="9">
                  <c:v>47843.16</c:v>
                </c:pt>
                <c:pt idx="10">
                  <c:v>46621.78</c:v>
                </c:pt>
                <c:pt idx="11">
                  <c:v>43999.62</c:v>
                </c:pt>
                <c:pt idx="12">
                  <c:v>43191.74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'Приложение №4'!$A$7</c:f>
              <c:strCache>
                <c:ptCount val="1"/>
                <c:pt idx="0">
                  <c:v>Население, проживающее в городских населенных пунктах в домах, оборудованных в установленном порядке стационарными электроплитами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№4'!$B$7:$N$7</c:f>
              <c:numCache>
                <c:formatCode>_-* #,##0.00_р_._-;\-* #,##0.00_р_._-;_-* "-"??_р_._-;_-@_-</c:formatCode>
                <c:ptCount val="13"/>
                <c:pt idx="0">
                  <c:v>2594.0149999999999</c:v>
                </c:pt>
                <c:pt idx="1">
                  <c:v>5327.2380000000003</c:v>
                </c:pt>
                <c:pt idx="2">
                  <c:v>2774.39</c:v>
                </c:pt>
                <c:pt idx="3">
                  <c:v>2306.48</c:v>
                </c:pt>
                <c:pt idx="4">
                  <c:v>3010.23</c:v>
                </c:pt>
                <c:pt idx="5">
                  <c:v>1653.27</c:v>
                </c:pt>
                <c:pt idx="6">
                  <c:v>3966.556</c:v>
                </c:pt>
                <c:pt idx="7">
                  <c:v>3198.14</c:v>
                </c:pt>
                <c:pt idx="8">
                  <c:v>5116.8500000000004</c:v>
                </c:pt>
                <c:pt idx="9">
                  <c:v>4651.3999999999996</c:v>
                </c:pt>
                <c:pt idx="10">
                  <c:v>4778.01</c:v>
                </c:pt>
                <c:pt idx="11">
                  <c:v>2479.71</c:v>
                </c:pt>
                <c:pt idx="12">
                  <c:v>3224.13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'Приложение №4'!$A$8</c:f>
              <c:strCache>
                <c:ptCount val="1"/>
                <c:pt idx="0">
                  <c:v>Население, проживающее в сельских населенных пунктах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№4'!$B$8:$N$8</c:f>
              <c:numCache>
                <c:formatCode>_-* #,##0.00_р_._-;\-* #,##0.00_р_._-;_-* "-"??_р_._-;_-@_-</c:formatCode>
                <c:ptCount val="13"/>
                <c:pt idx="0">
                  <c:v>30358.713</c:v>
                </c:pt>
                <c:pt idx="1">
                  <c:v>28894.661</c:v>
                </c:pt>
                <c:pt idx="2">
                  <c:v>33154.97</c:v>
                </c:pt>
                <c:pt idx="3">
                  <c:v>26336.52</c:v>
                </c:pt>
                <c:pt idx="4">
                  <c:v>24885.64</c:v>
                </c:pt>
                <c:pt idx="5">
                  <c:v>18862.34</c:v>
                </c:pt>
                <c:pt idx="6">
                  <c:v>21188.504000000001</c:v>
                </c:pt>
                <c:pt idx="7">
                  <c:v>38812.480000000003</c:v>
                </c:pt>
                <c:pt idx="8">
                  <c:v>15669.11</c:v>
                </c:pt>
                <c:pt idx="9">
                  <c:v>23252.91</c:v>
                </c:pt>
                <c:pt idx="10">
                  <c:v>22342.45</c:v>
                </c:pt>
                <c:pt idx="11">
                  <c:v>26560.36</c:v>
                </c:pt>
                <c:pt idx="12">
                  <c:v>27460.36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'Приложение №4'!$A$9</c:f>
              <c:strCache>
                <c:ptCount val="1"/>
                <c:pt idx="0">
                  <c:v>Потребители, приравненные к населению </c:v>
                </c:pt>
              </c:strCache>
            </c:strRef>
          </c:tx>
          <c:marker>
            <c:symbol val="none"/>
          </c:marker>
          <c:cat>
            <c:numRef>
              <c:f>'Приложение №4'!$B$4:$N$4</c:f>
              <c:numCache>
                <c:formatCode>mmm\-yy</c:formatCode>
                <c:ptCount val="13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</c:numCache>
            </c:numRef>
          </c:cat>
          <c:val>
            <c:numRef>
              <c:f>'Приложение №4'!$B$9:$N$9</c:f>
              <c:numCache>
                <c:formatCode>_-* #,##0.00_р_._-;\-* #,##0.00_р_._-;_-* "-"??_р_._-;_-@_-</c:formatCode>
                <c:ptCount val="13"/>
                <c:pt idx="0">
                  <c:v>3445.7099999999996</c:v>
                </c:pt>
                <c:pt idx="1">
                  <c:v>2805.02</c:v>
                </c:pt>
                <c:pt idx="2">
                  <c:v>2243.54</c:v>
                </c:pt>
                <c:pt idx="3">
                  <c:v>1697.63</c:v>
                </c:pt>
                <c:pt idx="4">
                  <c:v>1185.3800000000001</c:v>
                </c:pt>
                <c:pt idx="5">
                  <c:v>2666.23</c:v>
                </c:pt>
                <c:pt idx="6">
                  <c:v>2559.2739999999999</c:v>
                </c:pt>
                <c:pt idx="7">
                  <c:v>2889.47</c:v>
                </c:pt>
                <c:pt idx="8">
                  <c:v>4275.18</c:v>
                </c:pt>
                <c:pt idx="9">
                  <c:v>5452.34</c:v>
                </c:pt>
                <c:pt idx="10">
                  <c:v>2707.18</c:v>
                </c:pt>
                <c:pt idx="11">
                  <c:v>2094.67</c:v>
                </c:pt>
                <c:pt idx="12">
                  <c:v>2707.75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27328"/>
        <c:axId val="155028864"/>
      </c:lineChart>
      <c:dateAx>
        <c:axId val="1550273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5028864"/>
        <c:crosses val="autoZero"/>
        <c:auto val="1"/>
        <c:lblOffset val="100"/>
        <c:baseTimeUnit val="months"/>
      </c:dateAx>
      <c:valAx>
        <c:axId val="155028864"/>
        <c:scaling>
          <c:orientation val="minMax"/>
        </c:scaling>
        <c:delete val="0"/>
        <c:axPos val="l"/>
        <c:majorGridlines/>
        <c:numFmt formatCode="_-* #,##0.00_р_._-;\-* #,##0.00_р_._-;_-* &quot;-&quot;??_р_._-;_-@_-" sourceLinked="1"/>
        <c:majorTickMark val="out"/>
        <c:minorTickMark val="none"/>
        <c:tickLblPos val="nextTo"/>
        <c:crossAx val="155027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476250</xdr:rowOff>
    </xdr:from>
    <xdr:to>
      <xdr:col>5</xdr:col>
      <xdr:colOff>733426</xdr:colOff>
      <xdr:row>46</xdr:row>
      <xdr:rowOff>190499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571498</xdr:colOff>
      <xdr:row>2</xdr:row>
      <xdr:rowOff>80961</xdr:rowOff>
    </xdr:from>
    <xdr:to>
      <xdr:col>19</xdr:col>
      <xdr:colOff>209549</xdr:colOff>
      <xdr:row>14</xdr:row>
      <xdr:rowOff>209551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14</xdr:row>
      <xdr:rowOff>538161</xdr:rowOff>
    </xdr:from>
    <xdr:to>
      <xdr:col>19</xdr:col>
      <xdr:colOff>285751</xdr:colOff>
      <xdr:row>51</xdr:row>
      <xdr:rowOff>171450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14287</xdr:rowOff>
    </xdr:from>
    <xdr:to>
      <xdr:col>17</xdr:col>
      <xdr:colOff>598714</xdr:colOff>
      <xdr:row>15</xdr:row>
      <xdr:rowOff>157843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16</xdr:row>
      <xdr:rowOff>14286</xdr:rowOff>
    </xdr:from>
    <xdr:to>
      <xdr:col>17</xdr:col>
      <xdr:colOff>571500</xdr:colOff>
      <xdr:row>39</xdr:row>
      <xdr:rowOff>152399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18</xdr:col>
      <xdr:colOff>419100</xdr:colOff>
      <xdr:row>27</xdr:row>
      <xdr:rowOff>133350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18</xdr:col>
      <xdr:colOff>419100</xdr:colOff>
      <xdr:row>27</xdr:row>
      <xdr:rowOff>133350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21</xdr:col>
      <xdr:colOff>504826</xdr:colOff>
      <xdr:row>30</xdr:row>
      <xdr:rowOff>161924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12</xdr:col>
      <xdr:colOff>176211</xdr:colOff>
      <xdr:row>32</xdr:row>
      <xdr:rowOff>128587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12</xdr:col>
      <xdr:colOff>169071</xdr:colOff>
      <xdr:row>23</xdr:row>
      <xdr:rowOff>14288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266701</xdr:colOff>
      <xdr:row>36</xdr:row>
      <xdr:rowOff>147640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295276</xdr:colOff>
      <xdr:row>38</xdr:row>
      <xdr:rowOff>185739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579664</xdr:colOff>
      <xdr:row>32</xdr:row>
      <xdr:rowOff>105456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571501</xdr:colOff>
      <xdr:row>2</xdr:row>
      <xdr:rowOff>2381</xdr:rowOff>
    </xdr:from>
    <xdr:to>
      <xdr:col>15</xdr:col>
      <xdr:colOff>0</xdr:colOff>
      <xdr:row>14</xdr:row>
      <xdr:rowOff>535781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600073</xdr:colOff>
      <xdr:row>16</xdr:row>
      <xdr:rowOff>92868</xdr:rowOff>
    </xdr:from>
    <xdr:to>
      <xdr:col>15</xdr:col>
      <xdr:colOff>21432</xdr:colOff>
      <xdr:row>38</xdr:row>
      <xdr:rowOff>107156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571500</xdr:colOff>
      <xdr:row>24</xdr:row>
      <xdr:rowOff>138113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54768</xdr:colOff>
      <xdr:row>16</xdr:row>
      <xdr:rowOff>107156</xdr:rowOff>
    </xdr:from>
    <xdr:to>
      <xdr:col>11</xdr:col>
      <xdr:colOff>535780</xdr:colOff>
      <xdr:row>43</xdr:row>
      <xdr:rowOff>100014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400049</xdr:colOff>
      <xdr:row>17</xdr:row>
      <xdr:rowOff>123826</xdr:rowOff>
    </xdr:from>
    <xdr:to>
      <xdr:col>7</xdr:col>
      <xdr:colOff>0</xdr:colOff>
      <xdr:row>47</xdr:row>
      <xdr:rowOff>95250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133351</xdr:rowOff>
    </xdr:from>
    <xdr:to>
      <xdr:col>14</xdr:col>
      <xdr:colOff>57150</xdr:colOff>
      <xdr:row>43</xdr:row>
      <xdr:rowOff>76201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12</xdr:row>
      <xdr:rowOff>123825</xdr:rowOff>
    </xdr:from>
    <xdr:to>
      <xdr:col>6</xdr:col>
      <xdr:colOff>0</xdr:colOff>
      <xdr:row>51</xdr:row>
      <xdr:rowOff>180974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12</xdr:row>
      <xdr:rowOff>123825</xdr:rowOff>
    </xdr:from>
    <xdr:to>
      <xdr:col>6</xdr:col>
      <xdr:colOff>0</xdr:colOff>
      <xdr:row>51</xdr:row>
      <xdr:rowOff>180974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400049</xdr:colOff>
      <xdr:row>17</xdr:row>
      <xdr:rowOff>123826</xdr:rowOff>
    </xdr:from>
    <xdr:to>
      <xdr:col>13</xdr:col>
      <xdr:colOff>619125</xdr:colOff>
      <xdr:row>47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571501</xdr:colOff>
      <xdr:row>2</xdr:row>
      <xdr:rowOff>2381</xdr:rowOff>
    </xdr:from>
    <xdr:to>
      <xdr:col>15</xdr:col>
      <xdr:colOff>0</xdr:colOff>
      <xdr:row>14</xdr:row>
      <xdr:rowOff>535781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600073</xdr:colOff>
      <xdr:row>16</xdr:row>
      <xdr:rowOff>92868</xdr:rowOff>
    </xdr:from>
    <xdr:to>
      <xdr:col>15</xdr:col>
      <xdr:colOff>21432</xdr:colOff>
      <xdr:row>38</xdr:row>
      <xdr:rowOff>107156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Ukhanova\Downloads\46EE.ST(v1.0)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Раздел I. А"/>
      <sheetName val="Раздел I. Б"/>
      <sheetName val="Раздел I. В"/>
      <sheetName val="Раздел II. А"/>
      <sheetName val="Раздел II. Б"/>
      <sheetName val="Раздел III"/>
      <sheetName val="Раздел IV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_12"/>
      <sheetName val="mod_13"/>
      <sheetName val="mod_21"/>
      <sheetName val="mod_22"/>
      <sheetName val="mod_31"/>
      <sheetName val="mod_41"/>
      <sheetName val="modComm"/>
      <sheetName val="modButton"/>
      <sheetName val="REESTR_ORG"/>
      <sheetName val="modfrmCheckUpdates"/>
      <sheetName val="REESTR_MO"/>
      <sheetName val="modfrmReestr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>
        <row r="3">
          <cell r="B3" t="str">
            <v>Версия 1.0</v>
          </cell>
        </row>
      </sheetData>
      <sheetData sheetId="1"/>
      <sheetData sheetId="2">
        <row r="16">
          <cell r="G16" t="str">
            <v>ОАО "Астраханская энергосбытовая компания"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E2" t="str">
            <v>январь</v>
          </cell>
          <cell r="F2">
            <v>2013</v>
          </cell>
          <cell r="G2" t="str">
            <v>Да</v>
          </cell>
          <cell r="H2" t="str">
            <v>с ОРЭМ</v>
          </cell>
        </row>
        <row r="3">
          <cell r="E3" t="str">
            <v>февраль</v>
          </cell>
          <cell r="F3">
            <v>2014</v>
          </cell>
          <cell r="G3" t="str">
            <v>Нет</v>
          </cell>
          <cell r="H3" t="str">
            <v xml:space="preserve">от ГП первого уровня </v>
          </cell>
        </row>
        <row r="4">
          <cell r="E4" t="str">
            <v>март</v>
          </cell>
          <cell r="F4">
            <v>2015</v>
          </cell>
          <cell r="H4" t="str">
            <v>с ОРЭМ и от ГП первого уровня</v>
          </cell>
        </row>
        <row r="5">
          <cell r="E5" t="str">
            <v>апрель</v>
          </cell>
          <cell r="F5">
            <v>2016</v>
          </cell>
        </row>
        <row r="6">
          <cell r="E6" t="str">
            <v>май</v>
          </cell>
        </row>
        <row r="7">
          <cell r="E7" t="str">
            <v>июнь</v>
          </cell>
        </row>
        <row r="8">
          <cell r="E8" t="str">
            <v>июль</v>
          </cell>
        </row>
        <row r="9">
          <cell r="E9" t="str">
            <v>август</v>
          </cell>
        </row>
        <row r="10">
          <cell r="E10" t="str">
            <v>сентябрь</v>
          </cell>
        </row>
        <row r="11">
          <cell r="E11" t="str">
            <v>октябрь</v>
          </cell>
        </row>
        <row r="12">
          <cell r="E12" t="str">
            <v>ноябрь</v>
          </cell>
        </row>
        <row r="13">
          <cell r="E13" t="str">
            <v>декабрь</v>
          </cell>
        </row>
        <row r="14">
          <cell r="E14" t="str">
            <v>год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D2" t="str">
            <v>Ахтубинский муниципальный район</v>
          </cell>
        </row>
        <row r="3">
          <cell r="D3" t="str">
            <v>Володарский муниципальный район</v>
          </cell>
        </row>
        <row r="4">
          <cell r="D4" t="str">
            <v>Город Астрахань</v>
          </cell>
        </row>
        <row r="5">
          <cell r="D5" t="str">
            <v>Енотаевский муниципальный район</v>
          </cell>
        </row>
        <row r="6">
          <cell r="D6" t="str">
            <v>ЗАТО Знаменск Астраханской области</v>
          </cell>
        </row>
        <row r="7">
          <cell r="D7" t="str">
            <v>Икрянинский муниципальный район</v>
          </cell>
        </row>
        <row r="8">
          <cell r="D8" t="str">
            <v>Камызякский муниципальный район</v>
          </cell>
        </row>
        <row r="9">
          <cell r="D9" t="str">
            <v>Красноярский муниципальный район</v>
          </cell>
        </row>
        <row r="10">
          <cell r="D10" t="str">
            <v>Лиманский муниципальный район</v>
          </cell>
        </row>
        <row r="11">
          <cell r="D11" t="str">
            <v>Наримановский муниципальный район</v>
          </cell>
        </row>
        <row r="12">
          <cell r="D12" t="str">
            <v>Приволжский муниципальный район</v>
          </cell>
        </row>
        <row r="13">
          <cell r="D13" t="str">
            <v>Харабалинский муниципальный район</v>
          </cell>
        </row>
        <row r="14">
          <cell r="D14" t="str">
            <v>Черноярский муниципальный район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opLeftCell="B1" workbookViewId="0">
      <selection sqref="A1:XFD1048576"/>
    </sheetView>
  </sheetViews>
  <sheetFormatPr defaultRowHeight="15"/>
  <cols>
    <col min="1" max="1" width="43.140625" customWidth="1"/>
    <col min="2" max="2" width="17.7109375" customWidth="1"/>
    <col min="3" max="3" width="19.85546875" customWidth="1"/>
    <col min="4" max="6" width="14.7109375" customWidth="1"/>
    <col min="7" max="7" width="18.85546875" customWidth="1"/>
    <col min="8" max="8" width="17" customWidth="1"/>
    <col min="9" max="10" width="14.7109375" customWidth="1"/>
    <col min="11" max="11" width="15.28515625" customWidth="1"/>
    <col min="12" max="12" width="15.5703125" customWidth="1"/>
    <col min="13" max="13" width="15.28515625" customWidth="1"/>
    <col min="14" max="14" width="14.85546875" customWidth="1"/>
  </cols>
  <sheetData>
    <row r="1" spans="1:16" ht="15.75" customHeight="1">
      <c r="A1" s="39"/>
      <c r="B1" s="39"/>
      <c r="C1" s="39"/>
      <c r="G1" s="317" t="s">
        <v>10</v>
      </c>
      <c r="H1" s="317"/>
      <c r="I1" s="317"/>
      <c r="J1" s="43"/>
      <c r="K1" s="43"/>
      <c r="L1" s="43"/>
      <c r="M1" s="315"/>
      <c r="N1" s="315"/>
    </row>
    <row r="2" spans="1:16" ht="40.5" customHeight="1">
      <c r="A2" s="318" t="s">
        <v>42</v>
      </c>
      <c r="B2" s="318"/>
      <c r="C2" s="318"/>
      <c r="D2" s="318"/>
      <c r="E2" s="318"/>
      <c r="F2" s="318"/>
      <c r="G2" s="318"/>
      <c r="H2" s="40"/>
      <c r="I2" s="40"/>
      <c r="J2" s="40"/>
      <c r="K2" s="40"/>
      <c r="L2" s="40"/>
      <c r="M2" s="40"/>
      <c r="N2" s="22"/>
    </row>
    <row r="3" spans="1:16" ht="95.25" customHeight="1">
      <c r="A3" s="41" t="s">
        <v>0</v>
      </c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>
        <v>42125</v>
      </c>
      <c r="H3" s="44">
        <v>42156</v>
      </c>
      <c r="I3" s="44">
        <v>42186</v>
      </c>
      <c r="J3" s="55"/>
      <c r="K3" s="55"/>
      <c r="L3" s="55"/>
      <c r="M3" s="55"/>
      <c r="N3" s="55"/>
      <c r="O3" s="56"/>
      <c r="P3" s="56"/>
    </row>
    <row r="4" spans="1:16" ht="31.5">
      <c r="A4" s="2" t="s">
        <v>13</v>
      </c>
      <c r="B4" s="53" t="e">
        <f>#REF!</f>
        <v>#REF!</v>
      </c>
      <c r="C4" s="23" t="e">
        <f>#REF!</f>
        <v>#REF!</v>
      </c>
      <c r="D4" s="23" t="e">
        <f>#REF!</f>
        <v>#REF!</v>
      </c>
      <c r="E4" s="23" t="e">
        <f>#REF!</f>
        <v>#REF!</v>
      </c>
      <c r="F4" s="23" t="e">
        <f>#REF!</f>
        <v>#REF!</v>
      </c>
      <c r="G4" s="23" t="e">
        <f>#REF!</f>
        <v>#REF!</v>
      </c>
      <c r="H4" s="23" t="e">
        <f>#REF!</f>
        <v>#REF!</v>
      </c>
      <c r="I4" s="23" t="e">
        <f>#REF!</f>
        <v>#REF!</v>
      </c>
      <c r="J4" s="57"/>
      <c r="K4" s="57"/>
      <c r="L4" s="58"/>
      <c r="M4" s="57"/>
      <c r="N4" s="57"/>
      <c r="O4" s="56"/>
      <c r="P4" s="56"/>
    </row>
    <row r="5" spans="1:16" ht="47.25">
      <c r="A5" s="2" t="s">
        <v>21</v>
      </c>
      <c r="B5" s="54" t="e">
        <f>#REF!</f>
        <v>#REF!</v>
      </c>
      <c r="C5" s="24" t="e">
        <f>#REF!</f>
        <v>#REF!</v>
      </c>
      <c r="D5" s="24" t="e">
        <f>#REF!</f>
        <v>#REF!</v>
      </c>
      <c r="E5" s="24" t="e">
        <f>#REF!</f>
        <v>#REF!</v>
      </c>
      <c r="F5" s="24" t="e">
        <f>#REF!</f>
        <v>#REF!</v>
      </c>
      <c r="G5" s="23" t="e">
        <f>#REF!</f>
        <v>#REF!</v>
      </c>
      <c r="H5" s="23" t="e">
        <f>#REF!</f>
        <v>#REF!</v>
      </c>
      <c r="I5" s="23" t="e">
        <f>#REF!</f>
        <v>#REF!</v>
      </c>
      <c r="J5" s="59"/>
      <c r="K5" s="59"/>
      <c r="L5" s="59"/>
      <c r="M5" s="59"/>
      <c r="N5" s="59"/>
      <c r="O5" s="56"/>
      <c r="P5" s="56"/>
    </row>
    <row r="6" spans="1:16" ht="63">
      <c r="A6" s="2" t="s">
        <v>1</v>
      </c>
      <c r="B6" s="68" t="e">
        <f>#REF!</f>
        <v>#REF!</v>
      </c>
      <c r="C6" s="24" t="e">
        <f>#REF!</f>
        <v>#REF!</v>
      </c>
      <c r="D6" s="24" t="e">
        <f>#REF!</f>
        <v>#REF!</v>
      </c>
      <c r="E6" s="24" t="e">
        <f>#REF!</f>
        <v>#REF!</v>
      </c>
      <c r="F6" s="24" t="e">
        <f>#REF!</f>
        <v>#REF!</v>
      </c>
      <c r="G6" s="23" t="e">
        <f>#REF!</f>
        <v>#REF!</v>
      </c>
      <c r="H6" s="23" t="e">
        <f>#REF!</f>
        <v>#REF!</v>
      </c>
      <c r="I6" s="23" t="e">
        <f>#REF!</f>
        <v>#REF!</v>
      </c>
      <c r="J6" s="59"/>
      <c r="K6" s="59"/>
      <c r="L6" s="59"/>
      <c r="M6" s="59"/>
      <c r="N6" s="59"/>
      <c r="O6" s="56"/>
      <c r="P6" s="56"/>
    </row>
    <row r="7" spans="1:16" ht="31.5">
      <c r="A7" s="2" t="s">
        <v>2</v>
      </c>
      <c r="B7" s="68" t="e">
        <f>#REF!</f>
        <v>#REF!</v>
      </c>
      <c r="C7" s="24" t="e">
        <f>#REF!</f>
        <v>#REF!</v>
      </c>
      <c r="D7" s="24" t="e">
        <f>#REF!</f>
        <v>#REF!</v>
      </c>
      <c r="E7" s="24" t="e">
        <f>#REF!</f>
        <v>#REF!</v>
      </c>
      <c r="F7" s="24" t="e">
        <f>#REF!</f>
        <v>#REF!</v>
      </c>
      <c r="G7" s="23" t="e">
        <f>#REF!</f>
        <v>#REF!</v>
      </c>
      <c r="H7" s="23" t="e">
        <f>#REF!</f>
        <v>#REF!</v>
      </c>
      <c r="I7" s="23" t="e">
        <f>#REF!</f>
        <v>#REF!</v>
      </c>
      <c r="J7" s="59"/>
      <c r="K7" s="59"/>
      <c r="L7" s="59"/>
      <c r="M7" s="59"/>
      <c r="N7" s="59"/>
      <c r="O7" s="56"/>
      <c r="P7" s="56"/>
    </row>
    <row r="8" spans="1:16" ht="31.5">
      <c r="A8" s="2" t="s">
        <v>20</v>
      </c>
      <c r="B8" s="68" t="e">
        <f>#REF!</f>
        <v>#REF!</v>
      </c>
      <c r="C8" s="24" t="e">
        <f>#REF!</f>
        <v>#REF!</v>
      </c>
      <c r="D8" s="24" t="e">
        <f>#REF!</f>
        <v>#REF!</v>
      </c>
      <c r="E8" s="24" t="e">
        <f>#REF!</f>
        <v>#REF!</v>
      </c>
      <c r="F8" s="24" t="e">
        <f>#REF!</f>
        <v>#REF!</v>
      </c>
      <c r="G8" s="23" t="e">
        <f>#REF!</f>
        <v>#REF!</v>
      </c>
      <c r="H8" s="23" t="e">
        <f>#REF!</f>
        <v>#REF!</v>
      </c>
      <c r="I8" s="23" t="e">
        <f>#REF!</f>
        <v>#REF!</v>
      </c>
      <c r="J8" s="59"/>
      <c r="K8" s="59"/>
      <c r="L8" s="59"/>
      <c r="M8" s="59"/>
      <c r="N8" s="59"/>
      <c r="O8" s="56"/>
      <c r="P8" s="56"/>
    </row>
    <row r="9" spans="1:16" ht="69.75" customHeight="1">
      <c r="A9" s="1" t="s">
        <v>14</v>
      </c>
      <c r="B9" s="50"/>
      <c r="C9" s="50"/>
      <c r="D9" s="50"/>
      <c r="F9" s="79"/>
      <c r="G9" s="79"/>
      <c r="I9" s="78" t="s">
        <v>15</v>
      </c>
    </row>
    <row r="10" spans="1:16" ht="55.5" customHeight="1">
      <c r="D10" s="316" t="s">
        <v>10</v>
      </c>
      <c r="E10" s="316"/>
      <c r="F10" s="316"/>
      <c r="H10" s="89"/>
    </row>
  </sheetData>
  <mergeCells count="4">
    <mergeCell ref="M1:N1"/>
    <mergeCell ref="D10:F10"/>
    <mergeCell ref="G1:I1"/>
    <mergeCell ref="A2:G2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7"/>
  <sheetViews>
    <sheetView view="pageBreakPreview" topLeftCell="A13" zoomScale="60" zoomScaleNormal="50" workbookViewId="0">
      <selection activeCell="R24" sqref="R24"/>
    </sheetView>
  </sheetViews>
  <sheetFormatPr defaultRowHeight="15"/>
  <cols>
    <col min="1" max="1" width="43.140625" customWidth="1"/>
    <col min="2" max="2" width="15.140625" customWidth="1"/>
    <col min="3" max="3" width="14.85546875" customWidth="1"/>
    <col min="4" max="14" width="14" bestFit="1" customWidth="1"/>
  </cols>
  <sheetData>
    <row r="1" spans="1:14" ht="38.25" customHeight="1">
      <c r="J1" s="365" t="s">
        <v>11</v>
      </c>
      <c r="K1" s="366"/>
      <c r="L1" s="366"/>
      <c r="M1" s="366"/>
      <c r="N1" s="366"/>
    </row>
    <row r="2" spans="1:14" ht="33.75" customHeight="1">
      <c r="A2" s="43"/>
    </row>
    <row r="3" spans="1:14" ht="95.25" customHeight="1">
      <c r="A3" s="373" t="s">
        <v>95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5"/>
    </row>
    <row r="4" spans="1:14" ht="15.75">
      <c r="A4" s="138" t="s">
        <v>0</v>
      </c>
      <c r="B4" s="44">
        <v>42705</v>
      </c>
      <c r="C4" s="44">
        <v>42736</v>
      </c>
      <c r="D4" s="44">
        <v>42767</v>
      </c>
      <c r="E4" s="44">
        <v>42795</v>
      </c>
      <c r="F4" s="44">
        <v>42826</v>
      </c>
      <c r="G4" s="44">
        <v>42856</v>
      </c>
      <c r="H4" s="166">
        <v>42887</v>
      </c>
      <c r="I4" s="44">
        <v>42917</v>
      </c>
      <c r="J4" s="44">
        <v>42948</v>
      </c>
      <c r="K4" s="44">
        <v>42979</v>
      </c>
      <c r="L4" s="44">
        <v>43009</v>
      </c>
      <c r="M4" s="44">
        <v>43040</v>
      </c>
      <c r="N4" s="44">
        <v>43070</v>
      </c>
    </row>
    <row r="5" spans="1:14" ht="47.25">
      <c r="A5" s="139" t="s">
        <v>13</v>
      </c>
      <c r="B5" s="134">
        <f>'Приложение №1'!D6</f>
        <v>91.175000000000011</v>
      </c>
      <c r="C5" s="134">
        <f>'Приложение №1'!J6</f>
        <v>50.221000000000004</v>
      </c>
      <c r="D5" s="135">
        <v>57.75</v>
      </c>
      <c r="E5" s="135">
        <v>50.55</v>
      </c>
      <c r="F5" s="135">
        <v>61.59</v>
      </c>
      <c r="G5" s="135">
        <v>56.07</v>
      </c>
      <c r="H5" s="167">
        <f>39.065+41.169</f>
        <v>80.233999999999995</v>
      </c>
      <c r="I5" s="135">
        <v>130.94</v>
      </c>
      <c r="J5" s="135">
        <v>86.39</v>
      </c>
      <c r="K5" s="135">
        <v>84.06</v>
      </c>
      <c r="L5" s="135">
        <v>108.06</v>
      </c>
      <c r="M5" s="135">
        <v>255.8</v>
      </c>
      <c r="N5" s="135">
        <v>103.12</v>
      </c>
    </row>
    <row r="6" spans="1:14" ht="47.25">
      <c r="A6" s="139" t="s">
        <v>21</v>
      </c>
      <c r="B6" s="134">
        <f>'Приложение №1'!D7</f>
        <v>43026.406999999999</v>
      </c>
      <c r="C6" s="134">
        <f>'Приложение №1'!J7</f>
        <v>43066.834999999999</v>
      </c>
      <c r="D6" s="135">
        <v>43883.72</v>
      </c>
      <c r="E6" s="135">
        <v>40913.56</v>
      </c>
      <c r="F6" s="135">
        <v>41925.629999999997</v>
      </c>
      <c r="G6" s="135">
        <v>39789.339999999997</v>
      </c>
      <c r="H6" s="167">
        <v>40411.050000000003</v>
      </c>
      <c r="I6" s="135">
        <v>46848.9</v>
      </c>
      <c r="J6" s="135">
        <v>55917.14</v>
      </c>
      <c r="K6" s="135">
        <v>47843.16</v>
      </c>
      <c r="L6" s="135">
        <v>46621.78</v>
      </c>
      <c r="M6" s="135">
        <v>43999.62</v>
      </c>
      <c r="N6" s="135">
        <v>43191.74</v>
      </c>
    </row>
    <row r="7" spans="1:14" ht="78.75">
      <c r="A7" s="139" t="s">
        <v>1</v>
      </c>
      <c r="B7" s="134">
        <f>'Приложение №1'!D8</f>
        <v>2594.0149999999999</v>
      </c>
      <c r="C7" s="134">
        <f>'Приложение №1'!J8</f>
        <v>5327.2380000000003</v>
      </c>
      <c r="D7" s="135">
        <v>2774.39</v>
      </c>
      <c r="E7" s="135">
        <v>2306.48</v>
      </c>
      <c r="F7" s="135">
        <v>3010.23</v>
      </c>
      <c r="G7" s="135">
        <v>1653.27</v>
      </c>
      <c r="H7" s="167">
        <v>3966.556</v>
      </c>
      <c r="I7" s="135">
        <v>3198.14</v>
      </c>
      <c r="J7" s="135">
        <v>5116.8500000000004</v>
      </c>
      <c r="K7" s="135">
        <v>4651.3999999999996</v>
      </c>
      <c r="L7" s="135">
        <v>4778.01</v>
      </c>
      <c r="M7" s="135">
        <v>2479.71</v>
      </c>
      <c r="N7" s="135">
        <v>3224.13</v>
      </c>
    </row>
    <row r="8" spans="1:14" ht="31.5">
      <c r="A8" s="139" t="s">
        <v>2</v>
      </c>
      <c r="B8" s="134">
        <f>'Приложение №1'!D9</f>
        <v>30358.713</v>
      </c>
      <c r="C8" s="134">
        <f>'Приложение №1'!J9</f>
        <v>28894.661</v>
      </c>
      <c r="D8" s="135">
        <v>33154.97</v>
      </c>
      <c r="E8" s="135">
        <v>26336.52</v>
      </c>
      <c r="F8" s="135">
        <v>24885.64</v>
      </c>
      <c r="G8" s="135">
        <v>18862.34</v>
      </c>
      <c r="H8" s="167">
        <v>21188.504000000001</v>
      </c>
      <c r="I8" s="135">
        <v>38812.480000000003</v>
      </c>
      <c r="J8" s="135">
        <v>15669.11</v>
      </c>
      <c r="K8" s="135">
        <v>23252.91</v>
      </c>
      <c r="L8" s="135">
        <v>22342.45</v>
      </c>
      <c r="M8" s="135">
        <v>26560.36</v>
      </c>
      <c r="N8" s="135">
        <v>27460.36</v>
      </c>
    </row>
    <row r="9" spans="1:14" ht="18.75" customHeight="1">
      <c r="A9" s="140" t="s">
        <v>20</v>
      </c>
      <c r="B9" s="134">
        <f>'Приложение №1'!D10</f>
        <v>3445.7099999999996</v>
      </c>
      <c r="C9" s="134">
        <f>'Приложение №1'!J10</f>
        <v>2805.02</v>
      </c>
      <c r="D9" s="135">
        <v>2243.54</v>
      </c>
      <c r="E9" s="135">
        <v>1697.63</v>
      </c>
      <c r="F9" s="135">
        <v>1185.3800000000001</v>
      </c>
      <c r="G9" s="135">
        <v>2666.23</v>
      </c>
      <c r="H9" s="167">
        <v>2559.2739999999999</v>
      </c>
      <c r="I9" s="135">
        <v>2889.47</v>
      </c>
      <c r="J9" s="135">
        <v>4275.18</v>
      </c>
      <c r="K9" s="135">
        <v>5452.34</v>
      </c>
      <c r="L9" s="135">
        <v>2707.18</v>
      </c>
      <c r="M9" s="135">
        <v>2094.67</v>
      </c>
      <c r="N9" s="135">
        <v>2707.75</v>
      </c>
    </row>
    <row r="10" spans="1:14" ht="24" customHeight="1">
      <c r="A10" s="141" t="s">
        <v>7</v>
      </c>
      <c r="B10" s="136">
        <f>SUM(B5:B9)</f>
        <v>79516.02</v>
      </c>
      <c r="C10" s="136">
        <f>SUM(C5:C9)</f>
        <v>80143.974999999991</v>
      </c>
      <c r="D10" s="137">
        <f>SUM(D5:D9)</f>
        <v>82114.37</v>
      </c>
      <c r="E10" s="137">
        <f>SUM(E5:E9)</f>
        <v>71304.740000000005</v>
      </c>
      <c r="F10" s="137">
        <f t="shared" ref="F10:N10" si="0">SUM(F5:F9)</f>
        <v>71068.47</v>
      </c>
      <c r="G10" s="137">
        <f t="shared" si="0"/>
        <v>63027.249999999993</v>
      </c>
      <c r="H10" s="168">
        <f t="shared" si="0"/>
        <v>68205.618000000002</v>
      </c>
      <c r="I10" s="137">
        <f t="shared" si="0"/>
        <v>91879.930000000008</v>
      </c>
      <c r="J10" s="137">
        <f t="shared" si="0"/>
        <v>81064.669999999984</v>
      </c>
      <c r="K10" s="137">
        <f t="shared" si="0"/>
        <v>81283.87</v>
      </c>
      <c r="L10" s="137">
        <f t="shared" si="0"/>
        <v>76557.48</v>
      </c>
      <c r="M10" s="137">
        <f t="shared" si="0"/>
        <v>75390.16</v>
      </c>
      <c r="N10" s="137">
        <f t="shared" si="0"/>
        <v>76687.100000000006</v>
      </c>
    </row>
    <row r="11" spans="1:14" ht="26.25" customHeight="1"/>
    <row r="17" spans="10:14" ht="37.5">
      <c r="J17" s="179"/>
      <c r="K17" s="184" t="s">
        <v>10</v>
      </c>
      <c r="L17" s="180"/>
      <c r="M17" s="180"/>
      <c r="N17" s="180"/>
    </row>
  </sheetData>
  <mergeCells count="2">
    <mergeCell ref="A3:N3"/>
    <mergeCell ref="J1:N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view="pageLayout" topLeftCell="C3" zoomScaleNormal="100" workbookViewId="0">
      <selection activeCell="G9" sqref="G9"/>
    </sheetView>
  </sheetViews>
  <sheetFormatPr defaultRowHeight="15"/>
  <cols>
    <col min="1" max="1" width="43.140625" customWidth="1"/>
    <col min="2" max="2" width="14" customWidth="1"/>
    <col min="3" max="3" width="13.42578125" customWidth="1"/>
    <col min="4" max="4" width="12.5703125" customWidth="1"/>
    <col min="5" max="5" width="12.85546875" customWidth="1"/>
    <col min="6" max="6" width="12.5703125" customWidth="1"/>
    <col min="7" max="7" width="12.42578125" customWidth="1"/>
    <col min="8" max="8" width="14.7109375" customWidth="1"/>
    <col min="9" max="9" width="17.7109375" customWidth="1"/>
    <col min="10" max="10" width="16.28515625" customWidth="1"/>
    <col min="11" max="11" width="14.7109375" customWidth="1"/>
    <col min="12" max="12" width="14.5703125" customWidth="1"/>
  </cols>
  <sheetData>
    <row r="1" spans="1:12" ht="15.75" customHeight="1">
      <c r="A1" s="43"/>
      <c r="B1" s="43"/>
      <c r="C1" s="43"/>
      <c r="D1" s="367"/>
      <c r="E1" s="367"/>
      <c r="F1" s="367"/>
      <c r="G1" s="49"/>
      <c r="H1" s="49"/>
    </row>
    <row r="2" spans="1:12" ht="36.75" customHeight="1">
      <c r="A2" s="318" t="s">
        <v>36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</row>
    <row r="3" spans="1:12" ht="95.25" customHeight="1">
      <c r="A3" s="42"/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 t="s">
        <v>32</v>
      </c>
      <c r="H3" s="44" t="s">
        <v>33</v>
      </c>
      <c r="I3" s="44" t="s">
        <v>28</v>
      </c>
      <c r="J3" s="44" t="s">
        <v>29</v>
      </c>
      <c r="K3" s="44" t="s">
        <v>30</v>
      </c>
      <c r="L3" s="44" t="s">
        <v>31</v>
      </c>
    </row>
    <row r="4" spans="1:12" ht="31.5">
      <c r="A4" s="31" t="s">
        <v>13</v>
      </c>
      <c r="B4" s="69" t="e">
        <f>#REF!</f>
        <v>#REF!</v>
      </c>
      <c r="C4" s="21" t="e">
        <f>#REF!</f>
        <v>#REF!</v>
      </c>
      <c r="D4" s="21" t="e">
        <f>#REF!</f>
        <v>#REF!</v>
      </c>
      <c r="E4" s="20" t="e">
        <f>#REF!</f>
        <v>#REF!</v>
      </c>
      <c r="F4" s="20" t="e">
        <f>#REF!</f>
        <v>#REF!</v>
      </c>
      <c r="G4" s="20" t="e">
        <f t="shared" ref="G4:G9" si="0">C4+D4+E4+F4</f>
        <v>#REF!</v>
      </c>
      <c r="H4" s="47" t="e">
        <f t="shared" ref="H4:H9" si="1">G4/G12*100</f>
        <v>#REF!</v>
      </c>
      <c r="I4" s="47" t="e">
        <f>C4/B4*100</f>
        <v>#REF!</v>
      </c>
      <c r="J4" s="47" t="e">
        <f>D4/C4*100</f>
        <v>#REF!</v>
      </c>
      <c r="K4" s="47" t="e">
        <f>E4/D4*100</f>
        <v>#REF!</v>
      </c>
      <c r="L4" s="20" t="e">
        <f>F4/E4*100</f>
        <v>#REF!</v>
      </c>
    </row>
    <row r="5" spans="1:12" ht="47.25">
      <c r="A5" s="32" t="s">
        <v>21</v>
      </c>
      <c r="B5" s="71" t="e">
        <f>#REF!</f>
        <v>#REF!</v>
      </c>
      <c r="C5" s="21" t="e">
        <f>#REF!</f>
        <v>#REF!</v>
      </c>
      <c r="D5" s="21" t="e">
        <f>#REF!</f>
        <v>#REF!</v>
      </c>
      <c r="E5" s="20" t="e">
        <f>#REF!</f>
        <v>#REF!</v>
      </c>
      <c r="F5" s="20" t="e">
        <f>#REF!</f>
        <v>#REF!</v>
      </c>
      <c r="G5" s="20" t="e">
        <f t="shared" si="0"/>
        <v>#REF!</v>
      </c>
      <c r="H5" s="47" t="e">
        <f t="shared" si="1"/>
        <v>#REF!</v>
      </c>
      <c r="I5" s="47" t="e">
        <f t="shared" ref="I5:L9" si="2">C5/B5*100</f>
        <v>#REF!</v>
      </c>
      <c r="J5" s="47" t="e">
        <f t="shared" si="2"/>
        <v>#REF!</v>
      </c>
      <c r="K5" s="47" t="e">
        <f t="shared" si="2"/>
        <v>#REF!</v>
      </c>
      <c r="L5" s="47" t="e">
        <f t="shared" si="2"/>
        <v>#REF!</v>
      </c>
    </row>
    <row r="6" spans="1:12" ht="63">
      <c r="A6" s="31" t="s">
        <v>1</v>
      </c>
      <c r="B6" s="69" t="e">
        <f>#REF!</f>
        <v>#REF!</v>
      </c>
      <c r="C6" s="21" t="e">
        <f>#REF!</f>
        <v>#REF!</v>
      </c>
      <c r="D6" s="21" t="e">
        <f>#REF!</f>
        <v>#REF!</v>
      </c>
      <c r="E6" s="20" t="e">
        <f>#REF!</f>
        <v>#REF!</v>
      </c>
      <c r="F6" s="20" t="e">
        <f>#REF!</f>
        <v>#REF!</v>
      </c>
      <c r="G6" s="20" t="e">
        <f t="shared" si="0"/>
        <v>#REF!</v>
      </c>
      <c r="H6" s="47" t="e">
        <f t="shared" si="1"/>
        <v>#REF!</v>
      </c>
      <c r="I6" s="47" t="e">
        <f t="shared" si="2"/>
        <v>#REF!</v>
      </c>
      <c r="J6" s="47" t="e">
        <f t="shared" si="2"/>
        <v>#REF!</v>
      </c>
      <c r="K6" s="47" t="e">
        <f t="shared" si="2"/>
        <v>#REF!</v>
      </c>
      <c r="L6" s="47" t="e">
        <f t="shared" si="2"/>
        <v>#REF!</v>
      </c>
    </row>
    <row r="7" spans="1:12" ht="31.5">
      <c r="A7" s="31" t="s">
        <v>2</v>
      </c>
      <c r="B7" s="69" t="e">
        <f>#REF!</f>
        <v>#REF!</v>
      </c>
      <c r="C7" s="21" t="e">
        <f>#REF!</f>
        <v>#REF!</v>
      </c>
      <c r="D7" s="21" t="e">
        <f>#REF!</f>
        <v>#REF!</v>
      </c>
      <c r="E7" s="21" t="e">
        <f>#REF!</f>
        <v>#REF!</v>
      </c>
      <c r="F7" s="21" t="e">
        <f>#REF!</f>
        <v>#REF!</v>
      </c>
      <c r="G7" s="20" t="e">
        <f t="shared" si="0"/>
        <v>#REF!</v>
      </c>
      <c r="H7" s="47" t="e">
        <f t="shared" si="1"/>
        <v>#REF!</v>
      </c>
      <c r="I7" s="47" t="e">
        <f t="shared" si="2"/>
        <v>#REF!</v>
      </c>
      <c r="J7" s="47" t="e">
        <f t="shared" si="2"/>
        <v>#REF!</v>
      </c>
      <c r="K7" s="47" t="e">
        <f t="shared" si="2"/>
        <v>#REF!</v>
      </c>
      <c r="L7" s="47" t="e">
        <f t="shared" si="2"/>
        <v>#REF!</v>
      </c>
    </row>
    <row r="8" spans="1:12" ht="31.5">
      <c r="A8" s="33" t="s">
        <v>20</v>
      </c>
      <c r="B8" s="69" t="e">
        <f>#REF!</f>
        <v>#REF!</v>
      </c>
      <c r="C8" s="21" t="e">
        <f>#REF!</f>
        <v>#REF!</v>
      </c>
      <c r="D8" s="21" t="e">
        <f>#REF!</f>
        <v>#REF!</v>
      </c>
      <c r="E8" s="20" t="e">
        <f>#REF!</f>
        <v>#REF!</v>
      </c>
      <c r="F8" s="20" t="e">
        <f>#REF!</f>
        <v>#REF!</v>
      </c>
      <c r="G8" s="20" t="e">
        <f t="shared" si="0"/>
        <v>#REF!</v>
      </c>
      <c r="H8" s="47" t="e">
        <f t="shared" si="1"/>
        <v>#REF!</v>
      </c>
      <c r="I8" s="47" t="e">
        <f t="shared" si="2"/>
        <v>#REF!</v>
      </c>
      <c r="J8" s="47" t="e">
        <f t="shared" si="2"/>
        <v>#REF!</v>
      </c>
      <c r="K8" s="47" t="e">
        <f t="shared" si="2"/>
        <v>#REF!</v>
      </c>
      <c r="L8" s="47" t="e">
        <f t="shared" si="2"/>
        <v>#REF!</v>
      </c>
    </row>
    <row r="9" spans="1:12" ht="18.75" customHeight="1">
      <c r="A9" s="18" t="s">
        <v>7</v>
      </c>
      <c r="B9" s="72" t="e">
        <f>B4+B5+B6+B7+B8</f>
        <v>#REF!</v>
      </c>
      <c r="C9" s="73" t="e">
        <f>SUM(C4:C8)</f>
        <v>#REF!</v>
      </c>
      <c r="D9" s="73" t="e">
        <f>SUM(D4:D8)</f>
        <v>#REF!</v>
      </c>
      <c r="E9" s="73" t="e">
        <f>SUM(E4:E8)</f>
        <v>#REF!</v>
      </c>
      <c r="F9" s="73" t="e">
        <f>SUM(F4:F8)</f>
        <v>#REF!</v>
      </c>
      <c r="G9" s="20" t="e">
        <f t="shared" si="0"/>
        <v>#REF!</v>
      </c>
      <c r="H9" s="47" t="e">
        <f t="shared" si="1"/>
        <v>#REF!</v>
      </c>
      <c r="I9" s="47" t="e">
        <f t="shared" si="2"/>
        <v>#REF!</v>
      </c>
      <c r="J9" s="47" t="e">
        <f t="shared" si="2"/>
        <v>#REF!</v>
      </c>
      <c r="K9" s="47" t="e">
        <f t="shared" si="2"/>
        <v>#REF!</v>
      </c>
      <c r="L9" s="47" t="e">
        <f t="shared" si="2"/>
        <v>#REF!</v>
      </c>
    </row>
    <row r="10" spans="1:12" ht="24" customHeight="1"/>
    <row r="11" spans="1:12" ht="15.75">
      <c r="A11" s="42"/>
      <c r="B11" s="45">
        <v>41609</v>
      </c>
      <c r="C11" s="44">
        <v>41640</v>
      </c>
      <c r="D11" s="44">
        <v>41671</v>
      </c>
      <c r="E11" s="44">
        <v>41699</v>
      </c>
      <c r="F11" s="44">
        <v>41730</v>
      </c>
      <c r="G11" s="44" t="s">
        <v>34</v>
      </c>
      <c r="H11" s="63"/>
    </row>
    <row r="12" spans="1:12" ht="31.5">
      <c r="A12" s="31" t="s">
        <v>13</v>
      </c>
      <c r="B12" s="51" t="e">
        <f>#REF!</f>
        <v>#REF!</v>
      </c>
      <c r="C12" s="46" t="e">
        <f>#REF!</f>
        <v>#REF!</v>
      </c>
      <c r="D12" s="46" t="e">
        <f>#REF!</f>
        <v>#REF!</v>
      </c>
      <c r="E12" s="47" t="e">
        <f>#REF!</f>
        <v>#REF!</v>
      </c>
      <c r="F12" s="47" t="e">
        <f>#REF!</f>
        <v>#REF!</v>
      </c>
      <c r="G12" s="47" t="e">
        <f t="shared" ref="G12:G17" si="3">C12+D12+E12+F12</f>
        <v>#REF!</v>
      </c>
      <c r="H12" s="64"/>
      <c r="I12" s="67"/>
    </row>
    <row r="13" spans="1:12" ht="47.25">
      <c r="A13" s="32" t="s">
        <v>21</v>
      </c>
      <c r="B13" s="52" t="e">
        <f>#REF!</f>
        <v>#REF!</v>
      </c>
      <c r="C13" s="46" t="e">
        <f>#REF!</f>
        <v>#REF!</v>
      </c>
      <c r="D13" s="46" t="e">
        <f>#REF!</f>
        <v>#REF!</v>
      </c>
      <c r="E13" s="47" t="e">
        <f>#REF!</f>
        <v>#REF!</v>
      </c>
      <c r="F13" s="47" t="e">
        <f>#REF!</f>
        <v>#REF!</v>
      </c>
      <c r="G13" s="47" t="e">
        <f t="shared" si="3"/>
        <v>#REF!</v>
      </c>
      <c r="H13" s="64"/>
      <c r="I13" s="62"/>
    </row>
    <row r="14" spans="1:12" ht="63">
      <c r="A14" s="31" t="s">
        <v>1</v>
      </c>
      <c r="B14" s="51" t="e">
        <f>#REF!</f>
        <v>#REF!</v>
      </c>
      <c r="C14" s="46" t="e">
        <f>#REF!</f>
        <v>#REF!</v>
      </c>
      <c r="D14" s="46" t="e">
        <f>#REF!</f>
        <v>#REF!</v>
      </c>
      <c r="E14" s="47" t="e">
        <f>#REF!</f>
        <v>#REF!</v>
      </c>
      <c r="F14" s="47" t="e">
        <f>#REF!</f>
        <v>#REF!</v>
      </c>
      <c r="G14" s="47" t="e">
        <f t="shared" si="3"/>
        <v>#REF!</v>
      </c>
      <c r="H14" s="64"/>
      <c r="I14" s="62"/>
    </row>
    <row r="15" spans="1:12" ht="31.5">
      <c r="A15" s="31" t="s">
        <v>2</v>
      </c>
      <c r="B15" s="51" t="e">
        <f>#REF!</f>
        <v>#REF!</v>
      </c>
      <c r="C15" s="46" t="e">
        <f>#REF!</f>
        <v>#REF!</v>
      </c>
      <c r="D15" s="46" t="e">
        <f>#REF!</f>
        <v>#REF!</v>
      </c>
      <c r="E15" s="46" t="e">
        <f>#REF!</f>
        <v>#REF!</v>
      </c>
      <c r="F15" s="46" t="e">
        <f>#REF!</f>
        <v>#REF!</v>
      </c>
      <c r="G15" s="47" t="e">
        <f t="shared" si="3"/>
        <v>#REF!</v>
      </c>
      <c r="H15" s="65"/>
      <c r="I15" s="62"/>
    </row>
    <row r="16" spans="1:12" ht="31.5">
      <c r="A16" s="33" t="s">
        <v>20</v>
      </c>
      <c r="B16" s="51" t="e">
        <f>#REF!</f>
        <v>#REF!</v>
      </c>
      <c r="C16" s="46" t="e">
        <f>#REF!</f>
        <v>#REF!</v>
      </c>
      <c r="D16" s="46" t="e">
        <f>#REF!</f>
        <v>#REF!</v>
      </c>
      <c r="E16" s="47" t="e">
        <f>#REF!</f>
        <v>#REF!</v>
      </c>
      <c r="F16" s="47" t="e">
        <f>#REF!</f>
        <v>#REF!</v>
      </c>
      <c r="G16" s="47" t="e">
        <f t="shared" si="3"/>
        <v>#REF!</v>
      </c>
      <c r="H16" s="64"/>
      <c r="I16" s="62"/>
    </row>
    <row r="17" spans="1:9" ht="15.75">
      <c r="A17" s="18" t="s">
        <v>7</v>
      </c>
      <c r="B17" s="61" t="e">
        <f>B12+B13+B14+B15+B16</f>
        <v>#REF!</v>
      </c>
      <c r="C17" s="19" t="e">
        <f>SUM(C12:C16)</f>
        <v>#REF!</v>
      </c>
      <c r="D17" s="19" t="e">
        <f>SUM(D12:D16)</f>
        <v>#REF!</v>
      </c>
      <c r="E17" s="48" t="e">
        <f>SUM(E12:E16)</f>
        <v>#REF!</v>
      </c>
      <c r="F17" s="19" t="e">
        <f>SUM(F12:F16)</f>
        <v>#REF!</v>
      </c>
      <c r="G17" s="47" t="e">
        <f t="shared" si="3"/>
        <v>#REF!</v>
      </c>
      <c r="H17" s="66"/>
      <c r="I17" s="62"/>
    </row>
  </sheetData>
  <mergeCells count="2">
    <mergeCell ref="D1:F1"/>
    <mergeCell ref="A2:L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view="pageBreakPreview" zoomScale="60" zoomScaleNormal="60" workbookViewId="0">
      <selection activeCell="E11" sqref="E11"/>
    </sheetView>
  </sheetViews>
  <sheetFormatPr defaultRowHeight="15"/>
  <cols>
    <col min="1" max="1" width="32.42578125" customWidth="1"/>
    <col min="2" max="4" width="18" bestFit="1" customWidth="1"/>
    <col min="5" max="5" width="18" customWidth="1"/>
    <col min="6" max="6" width="21.140625" hidden="1" customWidth="1"/>
    <col min="9" max="9" width="9.140625" customWidth="1"/>
    <col min="10" max="10" width="30" customWidth="1"/>
    <col min="11" max="11" width="16.85546875" customWidth="1"/>
  </cols>
  <sheetData>
    <row r="1" spans="1:15" ht="32.25" customHeight="1">
      <c r="C1" s="383" t="s">
        <v>101</v>
      </c>
      <c r="D1" s="384"/>
      <c r="E1" s="384"/>
      <c r="F1" s="384"/>
      <c r="K1" s="185" t="s">
        <v>11</v>
      </c>
      <c r="L1" s="181"/>
      <c r="M1" s="186"/>
      <c r="N1" s="186"/>
      <c r="O1" s="182"/>
    </row>
    <row r="3" spans="1:15">
      <c r="A3" s="380" t="s">
        <v>0</v>
      </c>
      <c r="B3" s="376" t="s">
        <v>105</v>
      </c>
      <c r="C3" s="376"/>
      <c r="D3" s="376"/>
      <c r="E3" s="376"/>
      <c r="F3" s="377"/>
    </row>
    <row r="4" spans="1:15" ht="15.75" customHeight="1">
      <c r="A4" s="381"/>
      <c r="B4" s="378"/>
      <c r="C4" s="378"/>
      <c r="D4" s="378"/>
      <c r="E4" s="378"/>
      <c r="F4" s="379"/>
    </row>
    <row r="5" spans="1:15" ht="66.75" customHeight="1">
      <c r="A5" s="382"/>
      <c r="B5" s="163" t="s">
        <v>45</v>
      </c>
      <c r="C5" s="147" t="s">
        <v>61</v>
      </c>
      <c r="D5" s="148" t="s">
        <v>96</v>
      </c>
      <c r="E5" s="148" t="s">
        <v>17</v>
      </c>
      <c r="F5" s="148" t="s">
        <v>46</v>
      </c>
    </row>
    <row r="6" spans="1:15" ht="42" customHeight="1">
      <c r="A6" s="142" t="s">
        <v>13</v>
      </c>
      <c r="B6" s="164">
        <v>0.12</v>
      </c>
      <c r="C6" s="165">
        <v>1127.95</v>
      </c>
      <c r="D6" s="155">
        <v>4884.7</v>
      </c>
      <c r="E6" s="155">
        <v>4.33</v>
      </c>
      <c r="F6" s="155">
        <v>98.91</v>
      </c>
    </row>
    <row r="7" spans="1:15" ht="47.25" customHeight="1">
      <c r="A7" s="142" t="s">
        <v>21</v>
      </c>
      <c r="B7" s="164">
        <v>58.7</v>
      </c>
      <c r="C7" s="165">
        <v>542431.68000000005</v>
      </c>
      <c r="D7" s="155">
        <v>2409870.6800000002</v>
      </c>
      <c r="E7" s="155">
        <v>4.4400000000000004</v>
      </c>
      <c r="F7" s="155">
        <v>100</v>
      </c>
    </row>
    <row r="8" spans="1:15" ht="73.5" customHeight="1">
      <c r="A8" s="142" t="s">
        <v>1</v>
      </c>
      <c r="B8" s="164">
        <v>4.3099999999999996</v>
      </c>
      <c r="C8" s="165">
        <v>39864.86</v>
      </c>
      <c r="D8" s="155">
        <v>124237.44</v>
      </c>
      <c r="E8" s="155">
        <v>3.12</v>
      </c>
      <c r="F8" s="155">
        <v>100</v>
      </c>
    </row>
    <row r="9" spans="1:15" ht="35.25" customHeight="1">
      <c r="A9" s="142" t="s">
        <v>2</v>
      </c>
      <c r="B9" s="164">
        <v>33.270000000000003</v>
      </c>
      <c r="C9" s="165">
        <v>307471.49</v>
      </c>
      <c r="D9" s="155">
        <v>954746.2</v>
      </c>
      <c r="E9" s="155">
        <v>3.11</v>
      </c>
      <c r="F9" s="155">
        <v>100</v>
      </c>
    </row>
    <row r="10" spans="1:15" ht="34.5" customHeight="1">
      <c r="A10" s="160" t="s">
        <v>98</v>
      </c>
      <c r="B10" s="176">
        <v>3.6</v>
      </c>
      <c r="C10" s="177">
        <v>33240.19</v>
      </c>
      <c r="D10" s="161">
        <v>143603.51</v>
      </c>
      <c r="E10" s="161">
        <v>4.32</v>
      </c>
      <c r="F10" s="155">
        <v>100.01</v>
      </c>
    </row>
    <row r="11" spans="1:15" ht="21" customHeight="1">
      <c r="A11" s="143" t="s">
        <v>3</v>
      </c>
      <c r="B11" s="164">
        <v>3.83</v>
      </c>
      <c r="C11" s="165">
        <v>1273.8900000000001</v>
      </c>
      <c r="D11" s="155">
        <v>5667.74</v>
      </c>
      <c r="E11" s="155">
        <v>4.45</v>
      </c>
      <c r="F11" s="155">
        <v>100</v>
      </c>
    </row>
    <row r="12" spans="1:15" ht="42.75" customHeight="1">
      <c r="A12" s="143" t="s">
        <v>4</v>
      </c>
      <c r="B12" s="164">
        <v>65.430000000000007</v>
      </c>
      <c r="C12" s="165">
        <v>21747.65</v>
      </c>
      <c r="D12" s="155">
        <v>96982.7</v>
      </c>
      <c r="E12" s="155">
        <v>4.46</v>
      </c>
      <c r="F12" s="155">
        <v>100</v>
      </c>
    </row>
    <row r="13" spans="1:15">
      <c r="A13" s="143" t="s">
        <v>5</v>
      </c>
      <c r="B13" s="164">
        <v>5.87</v>
      </c>
      <c r="C13" s="165">
        <v>1950.51</v>
      </c>
      <c r="D13" s="155">
        <v>8637.06</v>
      </c>
      <c r="E13" s="155">
        <v>4.43</v>
      </c>
      <c r="F13" s="155">
        <v>100</v>
      </c>
    </row>
    <row r="14" spans="1:15" ht="40.5" customHeight="1">
      <c r="A14" s="143" t="s">
        <v>12</v>
      </c>
      <c r="B14" s="164">
        <v>16.32</v>
      </c>
      <c r="C14" s="165">
        <v>5423.79</v>
      </c>
      <c r="D14" s="155">
        <v>19639.11</v>
      </c>
      <c r="E14" s="155">
        <v>3.62</v>
      </c>
      <c r="F14" s="155">
        <v>99.63</v>
      </c>
    </row>
    <row r="15" spans="1:15" ht="42.75" customHeight="1">
      <c r="A15" s="143" t="s">
        <v>6</v>
      </c>
      <c r="B15" s="164">
        <v>8.56</v>
      </c>
      <c r="C15" s="165">
        <v>2844.35</v>
      </c>
      <c r="D15" s="155">
        <v>12676.9</v>
      </c>
      <c r="E15" s="157">
        <v>4.46</v>
      </c>
      <c r="F15" s="155">
        <v>100</v>
      </c>
    </row>
  </sheetData>
  <mergeCells count="3">
    <mergeCell ref="B3:F4"/>
    <mergeCell ref="A3:A5"/>
    <mergeCell ref="C1:F1"/>
  </mergeCells>
  <pageMargins left="0.7" right="0.7" top="0.75" bottom="0.75" header="0.3" footer="0.3"/>
  <pageSetup paperSize="9" scale="72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5"/>
  <sheetViews>
    <sheetView zoomScale="50" zoomScaleNormal="50" workbookViewId="0">
      <selection activeCell="V8" sqref="V8"/>
    </sheetView>
  </sheetViews>
  <sheetFormatPr defaultRowHeight="15"/>
  <cols>
    <col min="1" max="1" width="29" customWidth="1"/>
    <col min="2" max="2" width="19.28515625" customWidth="1"/>
    <col min="3" max="3" width="21.5703125" customWidth="1"/>
    <col min="4" max="4" width="21.42578125" customWidth="1"/>
    <col min="5" max="5" width="22.5703125" customWidth="1"/>
    <col min="6" max="6" width="0.140625" customWidth="1"/>
    <col min="16" max="16" width="9.140625" customWidth="1"/>
    <col min="17" max="17" width="0.28515625" customWidth="1"/>
    <col min="19" max="19" width="27.42578125" customWidth="1"/>
  </cols>
  <sheetData>
    <row r="1" spans="1:19" ht="30.75" customHeight="1">
      <c r="D1" s="383" t="s">
        <v>102</v>
      </c>
      <c r="E1" s="384"/>
      <c r="R1" s="181"/>
      <c r="S1" s="182"/>
    </row>
    <row r="2" spans="1:19" ht="27" customHeight="1">
      <c r="F2" s="174"/>
      <c r="G2" s="178"/>
    </row>
    <row r="3" spans="1:19" ht="7.5" customHeight="1">
      <c r="A3" s="380" t="s">
        <v>0</v>
      </c>
      <c r="B3" s="385" t="s">
        <v>72</v>
      </c>
      <c r="C3" s="376"/>
      <c r="D3" s="376"/>
      <c r="E3" s="376"/>
      <c r="F3" s="175"/>
    </row>
    <row r="4" spans="1:19" ht="54.75" customHeight="1">
      <c r="A4" s="381"/>
      <c r="B4" s="386"/>
      <c r="C4" s="378"/>
      <c r="D4" s="378"/>
      <c r="E4" s="378"/>
      <c r="F4" s="148" t="s">
        <v>46</v>
      </c>
    </row>
    <row r="5" spans="1:19" ht="41.25" customHeight="1">
      <c r="A5" s="382"/>
      <c r="B5" s="148" t="s">
        <v>45</v>
      </c>
      <c r="C5" s="147" t="s">
        <v>61</v>
      </c>
      <c r="D5" s="148" t="s">
        <v>96</v>
      </c>
      <c r="E5" s="148" t="s">
        <v>17</v>
      </c>
      <c r="F5" s="155"/>
    </row>
    <row r="6" spans="1:19" ht="44.25" customHeight="1">
      <c r="A6" s="142" t="s">
        <v>13</v>
      </c>
      <c r="B6" s="158">
        <v>0.1</v>
      </c>
      <c r="C6" s="159">
        <v>197.9</v>
      </c>
      <c r="D6" s="158">
        <v>847.83</v>
      </c>
      <c r="E6" s="158">
        <v>4.28</v>
      </c>
      <c r="F6" s="155"/>
    </row>
    <row r="7" spans="1:19" ht="68.25" customHeight="1">
      <c r="A7" s="142" t="s">
        <v>21</v>
      </c>
      <c r="B7" s="158">
        <v>60.35</v>
      </c>
      <c r="C7" s="159">
        <v>122045.7</v>
      </c>
      <c r="D7" s="158">
        <v>529678.48</v>
      </c>
      <c r="E7" s="158">
        <v>4.34</v>
      </c>
      <c r="F7" s="155"/>
    </row>
    <row r="8" spans="1:19" ht="60.75" customHeight="1">
      <c r="A8" s="142" t="s">
        <v>1</v>
      </c>
      <c r="B8" s="158">
        <v>4.2699999999999996</v>
      </c>
      <c r="C8" s="159">
        <v>8630.07</v>
      </c>
      <c r="D8" s="158">
        <v>26235.41</v>
      </c>
      <c r="E8" s="158">
        <v>3.04</v>
      </c>
      <c r="F8" s="155"/>
    </row>
    <row r="9" spans="1:19" ht="30" customHeight="1">
      <c r="A9" s="142" t="s">
        <v>2</v>
      </c>
      <c r="B9" s="158">
        <v>32.11</v>
      </c>
      <c r="C9" s="159">
        <v>64936.47</v>
      </c>
      <c r="D9" s="158">
        <v>197406.95</v>
      </c>
      <c r="E9" s="158">
        <v>3.04</v>
      </c>
      <c r="F9" s="155"/>
    </row>
    <row r="10" spans="1:19" ht="21" customHeight="1">
      <c r="A10" s="160" t="s">
        <v>99</v>
      </c>
      <c r="B10" s="170">
        <v>3.17</v>
      </c>
      <c r="C10" s="169">
        <v>6410.88</v>
      </c>
      <c r="D10" s="158">
        <v>26905.82</v>
      </c>
      <c r="E10" s="158">
        <v>4.2</v>
      </c>
      <c r="F10" s="155"/>
    </row>
    <row r="11" spans="1:19" ht="44.25" customHeight="1">
      <c r="A11" s="143" t="s">
        <v>3</v>
      </c>
      <c r="B11" s="158">
        <f>C11/C10*100</f>
        <v>3.8936932215234101</v>
      </c>
      <c r="C11" s="159">
        <v>249.62</v>
      </c>
      <c r="D11" s="158">
        <v>1083.3599999999999</v>
      </c>
      <c r="E11" s="158">
        <v>4.34</v>
      </c>
      <c r="F11" s="155"/>
    </row>
    <row r="12" spans="1:19" ht="44.25" customHeight="1">
      <c r="A12" s="143" t="s">
        <v>4</v>
      </c>
      <c r="B12" s="158">
        <f>C12/C10*100</f>
        <v>74.196990116801445</v>
      </c>
      <c r="C12" s="159">
        <v>4756.68</v>
      </c>
      <c r="D12" s="158">
        <v>20643.990000000002</v>
      </c>
      <c r="E12" s="158">
        <v>4.34</v>
      </c>
      <c r="F12" s="155"/>
    </row>
    <row r="13" spans="1:19" ht="43.5" customHeight="1">
      <c r="A13" s="143" t="s">
        <v>5</v>
      </c>
      <c r="B13" s="158">
        <f>C13/C10*100</f>
        <v>5.7801737047020065</v>
      </c>
      <c r="C13" s="159">
        <v>370.56</v>
      </c>
      <c r="D13" s="158">
        <v>1608.22</v>
      </c>
      <c r="E13" s="158">
        <v>4.34</v>
      </c>
      <c r="F13" s="155"/>
    </row>
    <row r="14" spans="1:19" ht="61.5" customHeight="1">
      <c r="A14" s="143" t="s">
        <v>12</v>
      </c>
      <c r="B14" s="158">
        <f>C14/C10*100</f>
        <v>18.43272686433064</v>
      </c>
      <c r="C14" s="159">
        <v>1181.7</v>
      </c>
      <c r="D14" s="158">
        <v>4211.17</v>
      </c>
      <c r="E14" s="158">
        <v>3.56</v>
      </c>
      <c r="F14" s="155"/>
    </row>
    <row r="15" spans="1:19" ht="57.75" customHeight="1">
      <c r="A15" s="173" t="s">
        <v>6</v>
      </c>
      <c r="B15" s="170">
        <f>C15/C10*100</f>
        <v>-2.3035839073574924</v>
      </c>
      <c r="C15" s="171">
        <v>-147.68</v>
      </c>
      <c r="D15" s="170">
        <v>-640.91999999999996</v>
      </c>
      <c r="E15" s="172">
        <v>4.34</v>
      </c>
    </row>
  </sheetData>
  <mergeCells count="3">
    <mergeCell ref="A3:A5"/>
    <mergeCell ref="B3:E4"/>
    <mergeCell ref="D1:E1"/>
  </mergeCells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zoomScale="50" zoomScaleNormal="50" workbookViewId="0">
      <selection activeCell="W6" sqref="W6"/>
    </sheetView>
  </sheetViews>
  <sheetFormatPr defaultRowHeight="15"/>
  <cols>
    <col min="1" max="1" width="32.140625" customWidth="1"/>
    <col min="2" max="4" width="15.7109375" customWidth="1"/>
    <col min="5" max="5" width="15.5703125" customWidth="1"/>
    <col min="6" max="6" width="0.140625" hidden="1" customWidth="1"/>
  </cols>
  <sheetData>
    <row r="1" spans="1:18" ht="27.75" customHeight="1">
      <c r="B1" s="387" t="s">
        <v>103</v>
      </c>
      <c r="C1" s="387"/>
      <c r="D1" s="387"/>
      <c r="E1" s="387"/>
      <c r="F1" s="182"/>
      <c r="G1" s="182"/>
      <c r="H1" s="182"/>
      <c r="I1" s="182"/>
      <c r="K1" s="183"/>
      <c r="L1" s="182"/>
      <c r="M1" s="182"/>
      <c r="N1" s="182"/>
      <c r="O1" s="182"/>
      <c r="P1" s="182"/>
      <c r="Q1" s="182"/>
      <c r="R1" s="182"/>
    </row>
    <row r="2" spans="1:18" ht="1.5" hidden="1" customHeight="1"/>
    <row r="3" spans="1:18" ht="64.5" customHeight="1"/>
    <row r="4" spans="1:18" ht="45" customHeight="1">
      <c r="A4" s="380" t="s">
        <v>0</v>
      </c>
      <c r="B4" s="376" t="s">
        <v>97</v>
      </c>
      <c r="C4" s="376"/>
      <c r="D4" s="376"/>
      <c r="E4" s="376"/>
      <c r="F4" s="377"/>
    </row>
    <row r="5" spans="1:18" ht="45.75" customHeight="1">
      <c r="A5" s="381"/>
      <c r="B5" s="378"/>
      <c r="C5" s="378"/>
      <c r="D5" s="378"/>
      <c r="E5" s="378"/>
      <c r="F5" s="379"/>
    </row>
    <row r="6" spans="1:18" ht="67.5" customHeight="1">
      <c r="A6" s="382"/>
      <c r="B6" s="148" t="s">
        <v>45</v>
      </c>
      <c r="C6" s="147" t="s">
        <v>61</v>
      </c>
      <c r="D6" s="148" t="s">
        <v>96</v>
      </c>
      <c r="E6" s="148" t="s">
        <v>17</v>
      </c>
      <c r="F6" s="148" t="s">
        <v>46</v>
      </c>
    </row>
    <row r="7" spans="1:18" ht="34.5" customHeight="1">
      <c r="A7" s="142" t="s">
        <v>13</v>
      </c>
      <c r="B7" s="155">
        <v>0.08</v>
      </c>
      <c r="C7" s="156">
        <v>359.59</v>
      </c>
      <c r="D7" s="155">
        <v>1511.66</v>
      </c>
      <c r="E7" s="155">
        <v>4.2</v>
      </c>
      <c r="F7" s="155"/>
    </row>
    <row r="8" spans="1:18" ht="33" customHeight="1">
      <c r="A8" s="142" t="s">
        <v>21</v>
      </c>
      <c r="B8" s="155">
        <v>57.9</v>
      </c>
      <c r="C8" s="156">
        <v>252009.34</v>
      </c>
      <c r="D8" s="155">
        <v>1093720.81</v>
      </c>
      <c r="E8" s="155">
        <v>4.34</v>
      </c>
      <c r="F8" s="155"/>
    </row>
    <row r="9" spans="1:18" ht="24.75" customHeight="1">
      <c r="A9" s="142" t="s">
        <v>1</v>
      </c>
      <c r="B9" s="155">
        <v>3.77</v>
      </c>
      <c r="C9" s="156">
        <v>16416.63</v>
      </c>
      <c r="D9" s="155">
        <v>49906.54</v>
      </c>
      <c r="E9" s="155">
        <v>3.04</v>
      </c>
      <c r="F9" s="155"/>
    </row>
    <row r="10" spans="1:18" ht="42" customHeight="1">
      <c r="A10" s="142" t="s">
        <v>2</v>
      </c>
      <c r="B10" s="155">
        <v>35.24</v>
      </c>
      <c r="C10" s="156">
        <v>153373.82999999999</v>
      </c>
      <c r="D10" s="155">
        <v>466256.61</v>
      </c>
      <c r="E10" s="155">
        <v>3.04</v>
      </c>
      <c r="F10" s="155"/>
    </row>
    <row r="11" spans="1:18" ht="21.75" customHeight="1">
      <c r="A11" s="160" t="s">
        <v>99</v>
      </c>
      <c r="B11" s="161">
        <v>3.01</v>
      </c>
      <c r="C11" s="162">
        <v>13103.6</v>
      </c>
      <c r="D11" s="161">
        <v>55036.05</v>
      </c>
      <c r="E11" s="161">
        <v>4.2</v>
      </c>
      <c r="F11" s="155"/>
    </row>
    <row r="12" spans="1:18" ht="46.5" customHeight="1">
      <c r="A12" s="143" t="s">
        <v>3</v>
      </c>
      <c r="B12" s="155">
        <v>4.1399999999999997</v>
      </c>
      <c r="C12" s="156">
        <v>542.01</v>
      </c>
      <c r="D12" s="155">
        <v>2352.33</v>
      </c>
      <c r="E12" s="155">
        <v>4.34</v>
      </c>
      <c r="F12" s="155"/>
    </row>
    <row r="13" spans="1:18" ht="44.25" customHeight="1">
      <c r="A13" s="143" t="s">
        <v>4</v>
      </c>
      <c r="B13" s="155">
        <v>61.62</v>
      </c>
      <c r="C13" s="156">
        <v>8074.44</v>
      </c>
      <c r="D13" s="155">
        <v>35043.07</v>
      </c>
      <c r="E13" s="155">
        <v>4.34</v>
      </c>
      <c r="F13" s="155"/>
    </row>
    <row r="14" spans="1:18">
      <c r="A14" s="143" t="s">
        <v>5</v>
      </c>
      <c r="B14" s="155">
        <v>7.98</v>
      </c>
      <c r="C14" s="156">
        <v>1046.17</v>
      </c>
      <c r="D14" s="155">
        <v>4540.37</v>
      </c>
      <c r="E14" s="155">
        <v>4.34</v>
      </c>
      <c r="F14" s="155"/>
    </row>
    <row r="15" spans="1:18" ht="38.25">
      <c r="A15" s="143" t="s">
        <v>12</v>
      </c>
      <c r="B15" s="155">
        <v>17.91</v>
      </c>
      <c r="C15" s="156">
        <v>2346.1999999999998</v>
      </c>
      <c r="D15" s="155">
        <v>8348.94</v>
      </c>
      <c r="E15" s="155">
        <v>3.56</v>
      </c>
      <c r="F15" s="155"/>
    </row>
    <row r="16" spans="1:18" ht="38.25">
      <c r="A16" s="143" t="s">
        <v>6</v>
      </c>
      <c r="B16" s="155">
        <v>8.35</v>
      </c>
      <c r="C16" s="156">
        <v>1094.78</v>
      </c>
      <c r="D16" s="155">
        <v>4751.34</v>
      </c>
      <c r="E16" s="157">
        <v>4.34</v>
      </c>
      <c r="F16" s="155"/>
    </row>
  </sheetData>
  <mergeCells count="3">
    <mergeCell ref="A4:A6"/>
    <mergeCell ref="B4:F5"/>
    <mergeCell ref="B1:E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"/>
    </sheetView>
  </sheetViews>
  <sheetFormatPr defaultRowHeight="1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0"/>
  <sheetViews>
    <sheetView zoomScale="71" zoomScaleNormal="71" workbookViewId="0">
      <pane xSplit="2" ySplit="3" topLeftCell="CA4" activePane="bottomRight" state="frozen"/>
      <selection pane="topRight" activeCell="D1" sqref="D1"/>
      <selection pane="bottomLeft" activeCell="A4" sqref="A4"/>
      <selection pane="bottomRight" activeCell="AL4" sqref="AL4:AL14"/>
    </sheetView>
  </sheetViews>
  <sheetFormatPr defaultRowHeight="15.75"/>
  <cols>
    <col min="1" max="1" width="22.140625" style="5" customWidth="1"/>
    <col min="2" max="2" width="39.5703125" style="6" customWidth="1"/>
    <col min="3" max="4" width="16" style="5" customWidth="1"/>
    <col min="5" max="5" width="20.140625" style="5" customWidth="1"/>
    <col min="6" max="6" width="18.85546875" style="5" customWidth="1"/>
    <col min="7" max="7" width="18.140625" style="5" customWidth="1"/>
    <col min="8" max="8" width="20" style="5" customWidth="1"/>
    <col min="9" max="9" width="21.28515625" style="5" customWidth="1"/>
    <col min="10" max="10" width="19.140625" style="5" customWidth="1"/>
    <col min="11" max="11" width="17.85546875" style="5" customWidth="1"/>
    <col min="12" max="12" width="16.28515625" style="5" customWidth="1"/>
    <col min="13" max="13" width="15.85546875" style="5" customWidth="1"/>
    <col min="14" max="14" width="18" style="5" customWidth="1"/>
    <col min="15" max="15" width="17" style="5" customWidth="1"/>
    <col min="16" max="17" width="18.42578125" style="5" customWidth="1"/>
    <col min="18" max="18" width="17.140625" style="5" customWidth="1"/>
    <col min="19" max="19" width="18.7109375" style="5" customWidth="1"/>
    <col min="20" max="20" width="17.42578125" style="5" customWidth="1"/>
    <col min="21" max="21" width="18.28515625" style="5" customWidth="1"/>
    <col min="22" max="22" width="18.140625" style="5" customWidth="1"/>
    <col min="23" max="23" width="16" style="5" customWidth="1"/>
    <col min="24" max="24" width="15.42578125" style="5" customWidth="1"/>
    <col min="25" max="25" width="16.85546875" style="5" customWidth="1"/>
    <col min="26" max="26" width="18.42578125" style="5" customWidth="1"/>
    <col min="27" max="27" width="16.85546875" style="5" customWidth="1"/>
    <col min="28" max="28" width="20.28515625" style="5" customWidth="1"/>
    <col min="29" max="29" width="13.42578125" style="5" customWidth="1"/>
    <col min="30" max="30" width="18" style="5" customWidth="1"/>
    <col min="31" max="31" width="13.42578125" style="5" customWidth="1"/>
    <col min="32" max="32" width="16.140625" style="5" customWidth="1"/>
    <col min="33" max="33" width="17.28515625" style="5" customWidth="1"/>
    <col min="34" max="34" width="13.5703125" style="5" customWidth="1"/>
    <col min="35" max="35" width="18.7109375" style="5" customWidth="1"/>
    <col min="36" max="36" width="15.42578125" style="5" customWidth="1"/>
    <col min="37" max="37" width="13.7109375" style="5" customWidth="1"/>
    <col min="38" max="38" width="15.42578125" style="5" customWidth="1"/>
    <col min="39" max="39" width="16.42578125" style="5" customWidth="1"/>
    <col min="40" max="40" width="17.7109375" style="5" customWidth="1"/>
    <col min="41" max="41" width="15" style="5" customWidth="1"/>
    <col min="42" max="42" width="17.140625" style="5" customWidth="1"/>
    <col min="43" max="43" width="15.7109375" style="5" customWidth="1"/>
    <col min="44" max="44" width="17" style="5" customWidth="1"/>
    <col min="45" max="45" width="18.42578125" style="5" customWidth="1"/>
    <col min="46" max="46" width="18.5703125" style="5" customWidth="1"/>
    <col min="47" max="47" width="17.7109375" style="5" customWidth="1"/>
    <col min="48" max="48" width="17.140625" style="5" customWidth="1"/>
    <col min="49" max="49" width="17.85546875" style="5" customWidth="1"/>
    <col min="50" max="50" width="13.7109375" style="5" customWidth="1"/>
    <col min="51" max="51" width="14" style="5" customWidth="1"/>
    <col min="52" max="52" width="15.5703125" style="5" customWidth="1"/>
    <col min="53" max="53" width="18.42578125" style="5" customWidth="1"/>
    <col min="54" max="54" width="15.140625" style="5" customWidth="1"/>
    <col min="55" max="55" width="15.42578125" style="5" customWidth="1"/>
    <col min="56" max="56" width="18.85546875" style="5" customWidth="1"/>
    <col min="57" max="57" width="15" style="5" customWidth="1"/>
    <col min="58" max="58" width="19" style="5" customWidth="1"/>
    <col min="59" max="59" width="17" style="5" customWidth="1"/>
    <col min="60" max="60" width="17.7109375" style="5" customWidth="1"/>
    <col min="61" max="61" width="16" style="5" customWidth="1"/>
    <col min="62" max="62" width="17" style="5" customWidth="1"/>
    <col min="63" max="63" width="16.85546875" style="5" customWidth="1"/>
    <col min="64" max="64" width="19.42578125" style="5" customWidth="1"/>
    <col min="65" max="65" width="17" style="5" customWidth="1"/>
    <col min="66" max="66" width="16.7109375" style="5" customWidth="1"/>
    <col min="67" max="67" width="16.140625" style="5" customWidth="1"/>
    <col min="68" max="68" width="18" style="5" customWidth="1"/>
    <col min="69" max="69" width="17.140625" style="5" customWidth="1"/>
    <col min="70" max="70" width="16.42578125" style="5" customWidth="1"/>
    <col min="71" max="71" width="15.7109375" style="5" customWidth="1"/>
    <col min="72" max="72" width="14" style="5" customWidth="1"/>
    <col min="73" max="73" width="14.5703125" style="5" customWidth="1"/>
    <col min="74" max="74" width="15.5703125" style="5" customWidth="1"/>
    <col min="75" max="75" width="13.42578125" style="5" customWidth="1"/>
    <col min="76" max="76" width="15.42578125" style="5" customWidth="1"/>
    <col min="77" max="77" width="17.42578125" style="5" customWidth="1"/>
    <col min="78" max="78" width="15.5703125" style="5" customWidth="1"/>
    <col min="79" max="79" width="17.5703125" style="5" customWidth="1"/>
    <col min="80" max="80" width="16.140625" style="5" customWidth="1"/>
    <col min="81" max="81" width="14.7109375" style="5" customWidth="1"/>
    <col min="82" max="82" width="16.85546875" style="5" customWidth="1"/>
    <col min="83" max="83" width="17" style="5" customWidth="1"/>
    <col min="84" max="84" width="15.140625" style="5" customWidth="1"/>
    <col min="85" max="85" width="16" style="5" customWidth="1"/>
    <col min="86" max="86" width="18.85546875" style="5" customWidth="1"/>
    <col min="87" max="87" width="9.140625" style="5"/>
    <col min="88" max="88" width="13.28515625" style="5" bestFit="1" customWidth="1"/>
    <col min="89" max="89" width="20.7109375" style="5" customWidth="1"/>
    <col min="90" max="16384" width="9.140625" style="5"/>
  </cols>
  <sheetData>
    <row r="1" spans="1:89" ht="69.75" customHeight="1">
      <c r="B1" s="324" t="s">
        <v>71</v>
      </c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</row>
    <row r="2" spans="1:89" ht="31.5" customHeight="1">
      <c r="B2" s="9"/>
      <c r="C2" s="321" t="s">
        <v>48</v>
      </c>
      <c r="D2" s="322"/>
      <c r="E2" s="322"/>
      <c r="F2" s="322"/>
      <c r="G2" s="323"/>
      <c r="H2" s="321" t="s">
        <v>49</v>
      </c>
      <c r="I2" s="322"/>
      <c r="J2" s="322"/>
      <c r="K2" s="322"/>
      <c r="L2" s="323"/>
      <c r="M2" s="321" t="s">
        <v>50</v>
      </c>
      <c r="N2" s="322"/>
      <c r="O2" s="322"/>
      <c r="P2" s="322"/>
      <c r="Q2" s="323"/>
      <c r="R2" s="321" t="s">
        <v>52</v>
      </c>
      <c r="S2" s="322"/>
      <c r="T2" s="322"/>
      <c r="U2" s="322"/>
      <c r="V2" s="323"/>
      <c r="W2" s="321" t="s">
        <v>53</v>
      </c>
      <c r="X2" s="322"/>
      <c r="Y2" s="322"/>
      <c r="Z2" s="322"/>
      <c r="AA2" s="323"/>
      <c r="AB2" s="321" t="s">
        <v>54</v>
      </c>
      <c r="AC2" s="322"/>
      <c r="AD2" s="322"/>
      <c r="AE2" s="322"/>
      <c r="AF2" s="323"/>
      <c r="AG2" s="321" t="s">
        <v>55</v>
      </c>
      <c r="AH2" s="322"/>
      <c r="AI2" s="322"/>
      <c r="AJ2" s="322"/>
      <c r="AK2" s="323"/>
      <c r="AL2" s="321" t="s">
        <v>56</v>
      </c>
      <c r="AM2" s="322"/>
      <c r="AN2" s="322"/>
      <c r="AO2" s="323"/>
      <c r="AP2" s="321" t="s">
        <v>57</v>
      </c>
      <c r="AQ2" s="322"/>
      <c r="AR2" s="322"/>
      <c r="AS2" s="322"/>
      <c r="AT2" s="323"/>
      <c r="AU2" s="321" t="s">
        <v>58</v>
      </c>
      <c r="AV2" s="322"/>
      <c r="AW2" s="322"/>
      <c r="AX2" s="322"/>
      <c r="AY2" s="323"/>
      <c r="AZ2" s="321" t="s">
        <v>59</v>
      </c>
      <c r="BA2" s="322"/>
      <c r="BB2" s="322"/>
      <c r="BC2" s="322"/>
      <c r="BD2" s="323"/>
      <c r="BE2" s="321" t="s">
        <v>60</v>
      </c>
      <c r="BF2" s="322"/>
      <c r="BG2" s="322"/>
      <c r="BH2" s="323"/>
      <c r="BI2" s="325" t="s">
        <v>47</v>
      </c>
      <c r="BJ2" s="325"/>
      <c r="BK2" s="325"/>
      <c r="BL2" s="325"/>
      <c r="BM2" s="325" t="s">
        <v>63</v>
      </c>
      <c r="BN2" s="325"/>
      <c r="BO2" s="325"/>
      <c r="BP2" s="321" t="s">
        <v>67</v>
      </c>
      <c r="BQ2" s="322"/>
      <c r="BR2" s="322"/>
      <c r="BS2" s="322"/>
      <c r="BT2" s="323"/>
      <c r="BU2" s="321" t="s">
        <v>68</v>
      </c>
      <c r="BV2" s="322"/>
      <c r="BW2" s="322"/>
      <c r="BX2" s="322"/>
      <c r="BY2" s="323"/>
      <c r="BZ2" s="321" t="s">
        <v>69</v>
      </c>
      <c r="CA2" s="322"/>
      <c r="CB2" s="322"/>
      <c r="CC2" s="322"/>
      <c r="CD2" s="323"/>
      <c r="CE2" s="321" t="s">
        <v>70</v>
      </c>
      <c r="CF2" s="322"/>
      <c r="CG2" s="322"/>
      <c r="CH2" s="323"/>
    </row>
    <row r="3" spans="1:89" ht="110.25">
      <c r="B3" s="94" t="s">
        <v>8</v>
      </c>
      <c r="C3" s="11" t="s">
        <v>19</v>
      </c>
      <c r="D3" s="3" t="s">
        <v>18</v>
      </c>
      <c r="E3" s="12" t="s">
        <v>17</v>
      </c>
      <c r="F3" s="4" t="s">
        <v>46</v>
      </c>
      <c r="G3" s="96" t="s">
        <v>45</v>
      </c>
      <c r="H3" s="11" t="s">
        <v>19</v>
      </c>
      <c r="I3" s="3" t="s">
        <v>18</v>
      </c>
      <c r="J3" s="12" t="s">
        <v>17</v>
      </c>
      <c r="K3" s="4" t="s">
        <v>46</v>
      </c>
      <c r="L3" s="96" t="s">
        <v>45</v>
      </c>
      <c r="M3" s="11" t="s">
        <v>19</v>
      </c>
      <c r="N3" s="3" t="s">
        <v>18</v>
      </c>
      <c r="O3" s="12" t="s">
        <v>17</v>
      </c>
      <c r="P3" s="4" t="s">
        <v>51</v>
      </c>
      <c r="Q3" s="97" t="s">
        <v>45</v>
      </c>
      <c r="R3" s="11" t="s">
        <v>19</v>
      </c>
      <c r="S3" s="3" t="s">
        <v>18</v>
      </c>
      <c r="T3" s="12" t="s">
        <v>17</v>
      </c>
      <c r="U3" s="4" t="s">
        <v>51</v>
      </c>
      <c r="V3" s="98" t="s">
        <v>45</v>
      </c>
      <c r="W3" s="11" t="s">
        <v>19</v>
      </c>
      <c r="X3" s="3" t="s">
        <v>18</v>
      </c>
      <c r="Y3" s="12" t="s">
        <v>17</v>
      </c>
      <c r="Z3" s="4" t="s">
        <v>51</v>
      </c>
      <c r="AA3" s="100" t="s">
        <v>45</v>
      </c>
      <c r="AB3" s="11" t="s">
        <v>19</v>
      </c>
      <c r="AC3" s="3" t="s">
        <v>18</v>
      </c>
      <c r="AD3" s="12" t="s">
        <v>17</v>
      </c>
      <c r="AE3" s="4" t="s">
        <v>51</v>
      </c>
      <c r="AF3" s="101" t="s">
        <v>45</v>
      </c>
      <c r="AG3" s="11" t="s">
        <v>19</v>
      </c>
      <c r="AH3" s="3" t="s">
        <v>18</v>
      </c>
      <c r="AI3" s="12" t="s">
        <v>17</v>
      </c>
      <c r="AJ3" s="4" t="s">
        <v>51</v>
      </c>
      <c r="AK3" s="102" t="s">
        <v>45</v>
      </c>
      <c r="AL3" s="11" t="s">
        <v>19</v>
      </c>
      <c r="AM3" s="3" t="s">
        <v>18</v>
      </c>
      <c r="AN3" s="12" t="s">
        <v>17</v>
      </c>
      <c r="AO3" s="103" t="s">
        <v>45</v>
      </c>
      <c r="AP3" s="11" t="s">
        <v>19</v>
      </c>
      <c r="AQ3" s="3" t="s">
        <v>18</v>
      </c>
      <c r="AR3" s="12" t="s">
        <v>17</v>
      </c>
      <c r="AS3" s="4" t="s">
        <v>51</v>
      </c>
      <c r="AT3" s="104" t="s">
        <v>45</v>
      </c>
      <c r="AU3" s="11" t="s">
        <v>19</v>
      </c>
      <c r="AV3" s="3" t="s">
        <v>18</v>
      </c>
      <c r="AW3" s="12" t="s">
        <v>17</v>
      </c>
      <c r="AX3" s="4" t="s">
        <v>51</v>
      </c>
      <c r="AY3" s="105" t="s">
        <v>45</v>
      </c>
      <c r="AZ3" s="11" t="s">
        <v>19</v>
      </c>
      <c r="BA3" s="3" t="s">
        <v>18</v>
      </c>
      <c r="BB3" s="12" t="s">
        <v>17</v>
      </c>
      <c r="BC3" s="4" t="s">
        <v>51</v>
      </c>
      <c r="BD3" s="106" t="s">
        <v>45</v>
      </c>
      <c r="BE3" s="11" t="s">
        <v>19</v>
      </c>
      <c r="BF3" s="3" t="s">
        <v>18</v>
      </c>
      <c r="BG3" s="12" t="s">
        <v>17</v>
      </c>
      <c r="BH3" s="107" t="s">
        <v>45</v>
      </c>
      <c r="BI3" s="90" t="s">
        <v>61</v>
      </c>
      <c r="BJ3" s="90" t="s">
        <v>62</v>
      </c>
      <c r="BK3" s="90" t="s">
        <v>17</v>
      </c>
      <c r="BL3" s="90" t="s">
        <v>27</v>
      </c>
      <c r="BM3" s="90" t="s">
        <v>64</v>
      </c>
      <c r="BN3" s="90" t="s">
        <v>65</v>
      </c>
      <c r="BO3" s="90" t="s">
        <v>66</v>
      </c>
      <c r="BP3" s="11" t="s">
        <v>19</v>
      </c>
      <c r="BQ3" s="3" t="s">
        <v>18</v>
      </c>
      <c r="BR3" s="12" t="s">
        <v>17</v>
      </c>
      <c r="BS3" s="4" t="s">
        <v>51</v>
      </c>
      <c r="BT3" s="108" t="s">
        <v>45</v>
      </c>
      <c r="BU3" s="11" t="s">
        <v>19</v>
      </c>
      <c r="BV3" s="3" t="s">
        <v>18</v>
      </c>
      <c r="BW3" s="12" t="s">
        <v>17</v>
      </c>
      <c r="BX3" s="4" t="s">
        <v>51</v>
      </c>
      <c r="BY3" s="108" t="s">
        <v>45</v>
      </c>
      <c r="BZ3" s="11" t="s">
        <v>19</v>
      </c>
      <c r="CA3" s="3" t="s">
        <v>18</v>
      </c>
      <c r="CB3" s="12" t="s">
        <v>17</v>
      </c>
      <c r="CC3" s="4" t="s">
        <v>51</v>
      </c>
      <c r="CD3" s="109" t="s">
        <v>45</v>
      </c>
      <c r="CE3" s="11" t="s">
        <v>19</v>
      </c>
      <c r="CF3" s="3" t="s">
        <v>18</v>
      </c>
      <c r="CG3" s="12" t="s">
        <v>17</v>
      </c>
      <c r="CH3" s="110" t="s">
        <v>45</v>
      </c>
    </row>
    <row r="4" spans="1:89" ht="48.75" customHeight="1" thickBot="1">
      <c r="A4" s="5" t="s">
        <v>23</v>
      </c>
      <c r="B4" s="7" t="s">
        <v>9</v>
      </c>
      <c r="C4" s="15">
        <f>34.951+24.516</f>
        <v>59.466999999999999</v>
      </c>
      <c r="D4" s="15">
        <f>85.008+91.623</f>
        <v>176.631</v>
      </c>
      <c r="E4" s="36">
        <f t="shared" ref="E4:E12" si="0">(D4/C4)*1.18</f>
        <v>3.5048779995627828</v>
      </c>
      <c r="F4" s="17">
        <v>93.112335351610668</v>
      </c>
      <c r="G4" s="17">
        <f>C4/$C$14*100</f>
        <v>8.5057417010482167E-2</v>
      </c>
      <c r="H4" s="15">
        <f>2.362+5.327</f>
        <v>7.6890000000000001</v>
      </c>
      <c r="I4" s="15">
        <f>5.745+19.909</f>
        <v>25.654</v>
      </c>
      <c r="J4" s="36">
        <f t="shared" ref="J4:J12" si="1">(I4/H4)*1.18</f>
        <v>3.9370165171023541</v>
      </c>
      <c r="K4" s="17">
        <f>J4/E4*100</f>
        <v>112.32963080579349</v>
      </c>
      <c r="L4" s="17">
        <f>H4/$H$14*100</f>
        <v>1.0314896525650669E-2</v>
      </c>
      <c r="M4" s="15">
        <f>2.362+5.325</f>
        <v>7.6870000000000003</v>
      </c>
      <c r="N4" s="15">
        <f>5.745+19.901</f>
        <v>25.646000000000001</v>
      </c>
      <c r="O4" s="36">
        <f t="shared" ref="O4:O12" si="2">(N4/M4)*1.18</f>
        <v>3.9368128008325747</v>
      </c>
      <c r="P4" s="17">
        <f>O4/J4*100</f>
        <v>99.994825618107157</v>
      </c>
      <c r="Q4" s="17">
        <f>M4/$M$14*100</f>
        <v>1.0531892061190744E-2</v>
      </c>
      <c r="R4" s="15">
        <f>96.741+6.41</f>
        <v>103.151</v>
      </c>
      <c r="S4" s="15">
        <f>235.294+23.956</f>
        <v>259.25</v>
      </c>
      <c r="T4" s="36">
        <f t="shared" ref="T4:T12" si="3">(S4/R4)*1.18</f>
        <v>2.9657007687758723</v>
      </c>
      <c r="U4" s="17">
        <f>T4/O4*100</f>
        <v>75.332532147545166</v>
      </c>
      <c r="V4" s="17">
        <f>R4/$R$14*100</f>
        <v>0.1498038322222639</v>
      </c>
      <c r="W4" s="15">
        <f>6.411+2.069</f>
        <v>8.48</v>
      </c>
      <c r="X4" s="15">
        <f>15.593+7.732</f>
        <v>23.324999999999999</v>
      </c>
      <c r="Y4" s="36">
        <f t="shared" ref="Y4:Y12" si="4">(X4/W4)*1.18</f>
        <v>3.2456957547169805</v>
      </c>
      <c r="Z4" s="17">
        <f>Y4/T4*100</f>
        <v>109.44110710321861</v>
      </c>
      <c r="AA4" s="17">
        <f>W4/$W$14*100</f>
        <v>1.2211276217901641E-2</v>
      </c>
      <c r="AB4" s="15">
        <f>2.956+3.44</f>
        <v>6.3959999999999999</v>
      </c>
      <c r="AC4" s="15">
        <f>7.19+12.856</f>
        <v>20.045999999999999</v>
      </c>
      <c r="AD4" s="36">
        <f t="shared" ref="AD4:AD12" si="5">(AC4/AB4)*1.18</f>
        <v>3.6982926829268292</v>
      </c>
      <c r="AE4" s="17">
        <f>AD4/Y4*100</f>
        <v>113.94452722662277</v>
      </c>
      <c r="AF4" s="17">
        <f>AB4/$AB$14*100</f>
        <v>9.8623175141667879E-3</v>
      </c>
      <c r="AG4" s="15">
        <f>20.104+36.004</f>
        <v>56.107999999999997</v>
      </c>
      <c r="AH4" s="15">
        <f>48.897+134.557</f>
        <v>183.45399999999998</v>
      </c>
      <c r="AI4" s="36">
        <f t="shared" ref="AI4:AI12" si="6">(AH4/AG4)*1.18</f>
        <v>3.8581970485492261</v>
      </c>
      <c r="AJ4" s="17">
        <f>AI4/AD4*100</f>
        <v>104.32373474280701</v>
      </c>
      <c r="AK4" s="17">
        <f>AG4/$AG$14*100</f>
        <v>7.8681436661219115E-2</v>
      </c>
      <c r="AL4" s="15">
        <f>H4+M4+R4+W4+AB4+AG4</f>
        <v>189.511</v>
      </c>
      <c r="AM4" s="15">
        <f>I4+N4+S4+X4+AC4+AH4</f>
        <v>537.375</v>
      </c>
      <c r="AN4" s="26">
        <f>(AM4/AL4)*1.18</f>
        <v>3.345993108579449</v>
      </c>
      <c r="AO4" s="17">
        <f>AL4/$AL$14*100</f>
        <v>4.4908335180471423E-2</v>
      </c>
      <c r="AP4" s="15">
        <f>16.266+25.662</f>
        <v>41.927999999999997</v>
      </c>
      <c r="AQ4" s="15">
        <f>42.457+104.17</f>
        <v>146.62700000000001</v>
      </c>
      <c r="AR4" s="36">
        <f t="shared" ref="AR4:AR12" si="7">(AQ4/AP4)*1.18</f>
        <v>4.1265946384277807</v>
      </c>
      <c r="AS4" s="17">
        <f t="shared" ref="AS4:AS14" si="8">AR4/AI4*100</f>
        <v>106.95655474568046</v>
      </c>
      <c r="AT4" s="17">
        <f>AP4/AP14*100</f>
        <v>5.3811874671825591E-2</v>
      </c>
      <c r="AU4" s="15">
        <f>44.179+37.841</f>
        <v>82.02000000000001</v>
      </c>
      <c r="AV4" s="15">
        <f>115.315+153.609</f>
        <v>268.92399999999998</v>
      </c>
      <c r="AW4" s="36">
        <f t="shared" ref="AW4:AW12" si="9">(AV4/AU4)*1.18</f>
        <v>3.8689383077298212</v>
      </c>
      <c r="AX4" s="17">
        <f>AW4/AR4*100</f>
        <v>93.756199644651176</v>
      </c>
      <c r="AY4" s="17">
        <f>AU4/AU14*100</f>
        <v>9.9161244816249827E-2</v>
      </c>
      <c r="AZ4" s="15">
        <f>24.928+30.442</f>
        <v>55.370000000000005</v>
      </c>
      <c r="BA4" s="15">
        <f>65.066+123.574</f>
        <v>188.64</v>
      </c>
      <c r="BB4" s="36">
        <f t="shared" ref="BB4:BB12" si="10">(BA4/AZ4)*1.18</f>
        <v>4.0201408705074941</v>
      </c>
      <c r="BC4" s="17">
        <f>BB4/AW4*100</f>
        <v>103.90811511456728</v>
      </c>
      <c r="BD4" s="17">
        <f>AZ4/AZ14*100</f>
        <v>7.0601822070198439E-2</v>
      </c>
      <c r="BE4" s="15">
        <f t="shared" ref="BE4:BF7" si="11">AL4+AP4+AU4+AZ4</f>
        <v>368.82900000000001</v>
      </c>
      <c r="BF4" s="15">
        <f t="shared" si="11"/>
        <v>1141.5659999999998</v>
      </c>
      <c r="BG4" s="36">
        <f t="shared" ref="BG4:BG12" si="12">(BF4/BE4)*1.18</f>
        <v>3.6522287564155738</v>
      </c>
      <c r="BH4" s="17">
        <f>BE4/BE14*100</f>
        <v>5.5794371549951816E-2</v>
      </c>
      <c r="BI4" s="15">
        <v>867.65059999999994</v>
      </c>
      <c r="BJ4" s="15">
        <v>2444.9180000000001</v>
      </c>
      <c r="BK4" s="36">
        <v>3.3250749091857945</v>
      </c>
      <c r="BL4" s="91">
        <v>0.12808684873606244</v>
      </c>
      <c r="BM4" s="17">
        <f>BE4/BI4*100</f>
        <v>42.508931590665647</v>
      </c>
      <c r="BN4" s="17">
        <f>BF4/BJ4*100</f>
        <v>46.691381878656038</v>
      </c>
      <c r="BO4" s="17">
        <f>BG4/BK4*100</f>
        <v>109.83899178710199</v>
      </c>
      <c r="BP4" s="15">
        <f>26.594+50.946</f>
        <v>77.539999999999992</v>
      </c>
      <c r="BQ4" s="15">
        <f>69.415+206.806</f>
        <v>276.221</v>
      </c>
      <c r="BR4" s="36">
        <f>(BQ4/BP4)*1.18</f>
        <v>4.2035179262316227</v>
      </c>
      <c r="BS4" s="91">
        <f>BR4/BB4*100</f>
        <v>104.5614584570759</v>
      </c>
      <c r="BT4" s="91">
        <f>BP4/BP14*100</f>
        <v>0.10497581291745114</v>
      </c>
      <c r="BU4" s="15">
        <f>34.986+44.529</f>
        <v>79.515000000000001</v>
      </c>
      <c r="BV4" s="15">
        <f>91.319+180.758</f>
        <v>272.077</v>
      </c>
      <c r="BW4" s="36">
        <f>(BV4/BU4)*1.18</f>
        <v>4.0376137835628496</v>
      </c>
      <c r="BX4" s="91">
        <f>BW4/BG4*100</f>
        <v>110.55205062033153</v>
      </c>
      <c r="BY4" s="91">
        <f>BU4/BU14*100</f>
        <v>0.11017800020451829</v>
      </c>
      <c r="BZ4" s="15">
        <f>24.823+66.352</f>
        <v>91.175000000000011</v>
      </c>
      <c r="CA4" s="15">
        <f>64.792+269.344</f>
        <v>334.13599999999997</v>
      </c>
      <c r="CB4" s="36">
        <f>(CA4/BZ4)*1.18</f>
        <v>4.3244363038113507</v>
      </c>
      <c r="CC4" s="91">
        <f>CB4/BW4*100</f>
        <v>107.10376315377556</v>
      </c>
      <c r="CD4" s="91">
        <f>BZ4/BZ14*100</f>
        <v>0.11466242903002441</v>
      </c>
      <c r="CE4" s="15">
        <f>BP4+BU4+BZ4</f>
        <v>248.23000000000002</v>
      </c>
      <c r="CF4" s="15">
        <f>BQ4+BV4+CA4</f>
        <v>882.43399999999997</v>
      </c>
      <c r="CG4" s="28">
        <f>(CF4/CE4)*1.18</f>
        <v>4.1947875760383511</v>
      </c>
      <c r="CH4" s="91">
        <f>CE4/CE14*100</f>
        <v>0.11005530590582319</v>
      </c>
      <c r="CJ4" s="34">
        <f>BE4+CE4</f>
        <v>617.05899999999997</v>
      </c>
      <c r="CK4" s="34">
        <f>BF4+CF4</f>
        <v>2023.9999999999998</v>
      </c>
    </row>
    <row r="5" spans="1:89" ht="76.5" customHeight="1" thickBot="1">
      <c r="A5" s="13" t="s">
        <v>24</v>
      </c>
      <c r="B5" s="2" t="s">
        <v>21</v>
      </c>
      <c r="C5" s="37">
        <v>38224.582000000002</v>
      </c>
      <c r="D5" s="37">
        <v>130870.609</v>
      </c>
      <c r="E5" s="26">
        <f t="shared" si="0"/>
        <v>4.0400001920230277</v>
      </c>
      <c r="F5" s="17">
        <v>100.00000229972731</v>
      </c>
      <c r="G5" s="17">
        <f>C5/$C$14*100</f>
        <v>54.673755380721587</v>
      </c>
      <c r="H5" s="37">
        <v>40507.862999999998</v>
      </c>
      <c r="I5" s="37">
        <v>138687.94200000001</v>
      </c>
      <c r="J5" s="26">
        <f t="shared" si="1"/>
        <v>4.0400001244202883</v>
      </c>
      <c r="K5" s="17">
        <f t="shared" ref="K5:K14" si="13">J5/E5*100</f>
        <v>99.999998326664937</v>
      </c>
      <c r="L5" s="17">
        <f>H5/$H$14*100</f>
        <v>54.341840983253121</v>
      </c>
      <c r="M5" s="37">
        <v>39537.273999999998</v>
      </c>
      <c r="N5" s="37">
        <v>135364.90900000001</v>
      </c>
      <c r="O5" s="26">
        <f t="shared" si="2"/>
        <v>4.0400001431560515</v>
      </c>
      <c r="P5" s="17">
        <f t="shared" ref="P5:P14" si="14">O5/J5*100</f>
        <v>100.00000046375649</v>
      </c>
      <c r="Q5" s="17">
        <f>M5/$M$14*100</f>
        <v>54.169676357710841</v>
      </c>
      <c r="R5" s="37">
        <v>32637.326000000001</v>
      </c>
      <c r="S5" s="37">
        <v>111741.359</v>
      </c>
      <c r="T5" s="26">
        <f t="shared" si="3"/>
        <v>4.0400002016096535</v>
      </c>
      <c r="U5" s="17">
        <f t="shared" ref="U5:U14" si="15">T5/O5*100</f>
        <v>100.00000144687129</v>
      </c>
      <c r="V5" s="17">
        <f t="shared" ref="V5:V8" si="16">R5/$R$14*100</f>
        <v>47.398440231188566</v>
      </c>
      <c r="W5" s="37">
        <v>40101.724000000002</v>
      </c>
      <c r="X5" s="37">
        <v>137297.435</v>
      </c>
      <c r="Y5" s="26">
        <f t="shared" si="4"/>
        <v>4.0400002079711079</v>
      </c>
      <c r="Z5" s="17">
        <f t="shared" ref="Z5:Z14" si="17">Y5/T5*100</f>
        <v>100.00000015746173</v>
      </c>
      <c r="AA5" s="17">
        <f t="shared" ref="AA5:AA8" si="18">W5/$W$14*100</f>
        <v>57.746842992695221</v>
      </c>
      <c r="AB5" s="37">
        <v>38825.112999999998</v>
      </c>
      <c r="AC5" s="37">
        <v>132926.66</v>
      </c>
      <c r="AD5" s="26">
        <f t="shared" si="5"/>
        <v>4.0400000587248774</v>
      </c>
      <c r="AE5" s="17">
        <f t="shared" ref="AE5:AE14" si="19">AD5/Y5*100</f>
        <v>99.999996305786567</v>
      </c>
      <c r="AF5" s="17">
        <f t="shared" ref="AF5:AF8" si="20">AB5/$AB$14*100</f>
        <v>59.866415248499791</v>
      </c>
      <c r="AG5" s="37">
        <v>41656.572999999997</v>
      </c>
      <c r="AH5" s="37">
        <v>142620.81099999999</v>
      </c>
      <c r="AI5" s="26">
        <f t="shared" si="6"/>
        <v>4.0400000494519794</v>
      </c>
      <c r="AJ5" s="17">
        <f t="shared" ref="AJ5:AJ14" si="21">AI5/AD5*100</f>
        <v>99.999999770472826</v>
      </c>
      <c r="AK5" s="17">
        <f t="shared" ref="AK5:AK8" si="22">AG5/$AG$14*100</f>
        <v>58.415894525253975</v>
      </c>
      <c r="AL5" s="15">
        <f t="shared" ref="AL5:AL13" si="23">H5+M5+R5+W5+AB5+AG5</f>
        <v>233265.87299999999</v>
      </c>
      <c r="AM5" s="15">
        <f t="shared" ref="AM5:AM13" si="24">I5+N5+S5+X5+AC5+AH5</f>
        <v>798639.11600000004</v>
      </c>
      <c r="AN5" s="26">
        <f t="shared" ref="AN5:AN14" si="25">(AM5/AL5)*1.18</f>
        <v>4.040000128437133</v>
      </c>
      <c r="AO5" s="17">
        <f>AL5/$AL$14*100</f>
        <v>55.276907466317418</v>
      </c>
      <c r="AP5" s="37">
        <v>47195.625999999997</v>
      </c>
      <c r="AQ5" s="37">
        <v>173583.95499999999</v>
      </c>
      <c r="AR5" s="26">
        <f t="shared" si="7"/>
        <v>4.340001060691514</v>
      </c>
      <c r="AS5" s="17">
        <f t="shared" si="8"/>
        <v>107.4257675140432</v>
      </c>
      <c r="AT5" s="17">
        <f>AP5/AP14*100</f>
        <v>60.572531753729088</v>
      </c>
      <c r="AU5" s="37">
        <v>49855.071000000004</v>
      </c>
      <c r="AV5" s="37">
        <v>183365.304</v>
      </c>
      <c r="AW5" s="26">
        <f t="shared" si="9"/>
        <v>4.3400010145407268</v>
      </c>
      <c r="AX5" s="17">
        <f t="shared" ref="AX5:AX14" si="26">AW5/AR5*100</f>
        <v>99.999998936618056</v>
      </c>
      <c r="AY5" s="17">
        <f>AU5/AU14*100</f>
        <v>60.274212396519346</v>
      </c>
      <c r="AZ5" s="37">
        <v>47226.896999999997</v>
      </c>
      <c r="BA5" s="37">
        <v>173698.96900000001</v>
      </c>
      <c r="BB5" s="26">
        <f t="shared" si="10"/>
        <v>4.3400010680354466</v>
      </c>
      <c r="BC5" s="17">
        <f t="shared" ref="BC5:BC14" si="27">BB5/AW5*100</f>
        <v>100.00000123259693</v>
      </c>
      <c r="BD5" s="17">
        <f>AZ5/AZ14*100</f>
        <v>60.218619810756515</v>
      </c>
      <c r="BE5" s="15">
        <f t="shared" si="11"/>
        <v>377543.467</v>
      </c>
      <c r="BF5" s="15">
        <f t="shared" si="11"/>
        <v>1329287.344</v>
      </c>
      <c r="BG5" s="26">
        <f t="shared" si="12"/>
        <v>4.1546449694493059</v>
      </c>
      <c r="BH5" s="17">
        <f>BE5/BE14*100</f>
        <v>57.112646982897139</v>
      </c>
      <c r="BI5" s="15">
        <v>404432.73600000003</v>
      </c>
      <c r="BJ5" s="15">
        <v>1324341.713</v>
      </c>
      <c r="BK5" s="26">
        <v>3.863987957048066</v>
      </c>
      <c r="BL5" s="91">
        <v>59.704349515742727</v>
      </c>
      <c r="BM5" s="17">
        <f t="shared" ref="BM5:BM14" si="28">BE5/BI5*100</f>
        <v>93.351361893711783</v>
      </c>
      <c r="BN5" s="17">
        <f t="shared" ref="BN5:BN14" si="29">BF5/BJ5*100</f>
        <v>100.3734407027622</v>
      </c>
      <c r="BO5" s="17">
        <f t="shared" ref="BO5:BO14" si="30">BG5/BK5*100</f>
        <v>107.52220285446465</v>
      </c>
      <c r="BP5" s="15">
        <v>41873.24</v>
      </c>
      <c r="BQ5" s="15">
        <v>154008.39199999999</v>
      </c>
      <c r="BR5" s="26">
        <f t="shared" ref="BR5:BR14" si="31">(BQ5/BP5)*1.18</f>
        <v>4.3400009781903668</v>
      </c>
      <c r="BS5" s="91">
        <f t="shared" ref="BS5:BS14" si="32">BR5/BB5*100</f>
        <v>99.999997929837377</v>
      </c>
      <c r="BT5" s="91">
        <f>BP5/BP14*100</f>
        <v>56.689159253127826</v>
      </c>
      <c r="BU5" s="15">
        <v>42855.127</v>
      </c>
      <c r="BV5" s="15">
        <v>157619.745</v>
      </c>
      <c r="BW5" s="26">
        <f t="shared" ref="BW5:BW14" si="33">(BV5/BU5)*1.18</f>
        <v>4.3400011181859286</v>
      </c>
      <c r="BX5" s="91">
        <f t="shared" ref="BX5:BX14" si="34">BW5/BG5*100</f>
        <v>104.46141969048179</v>
      </c>
      <c r="BY5" s="91">
        <f>BU5/BU14*100</f>
        <v>59.381150617753356</v>
      </c>
      <c r="BZ5" s="15">
        <f>43026.407</f>
        <v>43026.406999999999</v>
      </c>
      <c r="CA5" s="15">
        <v>158249.70600000001</v>
      </c>
      <c r="CB5" s="26">
        <f t="shared" ref="CB5:CB14" si="35">(CA5/BZ5)*1.18</f>
        <v>4.3400010853799627</v>
      </c>
      <c r="CC5" s="91">
        <f t="shared" ref="CC5:CC14" si="36">CB5/BW5*100</f>
        <v>99.999999244102369</v>
      </c>
      <c r="CD5" s="91">
        <f>BZ5/BZ14*100</f>
        <v>54.110362918063551</v>
      </c>
      <c r="CE5" s="15">
        <f t="shared" ref="CE5:CE8" si="37">BP5+BU5+BZ5</f>
        <v>127754.774</v>
      </c>
      <c r="CF5" s="15">
        <f t="shared" ref="CF5:CF8" si="38">BQ5+BV5+CA5</f>
        <v>469877.84299999999</v>
      </c>
      <c r="CG5" s="28">
        <f t="shared" ref="CG5:CG14" si="39">(CF5/CE5)*1.18</f>
        <v>4.3400010612519253</v>
      </c>
      <c r="CH5" s="92">
        <f>CE5/CE14*100</f>
        <v>56.641383932237467</v>
      </c>
      <c r="CJ5" s="34">
        <f t="shared" ref="CJ5:CJ14" si="40">BE5+CE5</f>
        <v>505298.24100000004</v>
      </c>
      <c r="CK5" s="34">
        <f t="shared" ref="CK5:CK14" si="41">BF5+CF5</f>
        <v>1799165.1869999999</v>
      </c>
    </row>
    <row r="6" spans="1:89" ht="79.5" customHeight="1" thickBot="1">
      <c r="A6" s="13" t="s">
        <v>25</v>
      </c>
      <c r="B6" s="7" t="s">
        <v>1</v>
      </c>
      <c r="C6" s="16">
        <v>2698.8789999999999</v>
      </c>
      <c r="D6" s="27">
        <v>6472.7349999999997</v>
      </c>
      <c r="E6" s="28">
        <f t="shared" si="0"/>
        <v>2.8299998999584641</v>
      </c>
      <c r="F6" s="17">
        <v>99.999993286697915</v>
      </c>
      <c r="G6" s="17">
        <f>C6/$C$14*100</f>
        <v>3.8602868240172379</v>
      </c>
      <c r="H6" s="16">
        <v>3200.277</v>
      </c>
      <c r="I6" s="27">
        <v>7675.241</v>
      </c>
      <c r="J6" s="28">
        <f t="shared" si="1"/>
        <v>2.8300001468622873</v>
      </c>
      <c r="K6" s="17">
        <f t="shared" si="13"/>
        <v>100.00000872451702</v>
      </c>
      <c r="L6" s="17">
        <f>H6/$H$14*100</f>
        <v>4.2932144763193847</v>
      </c>
      <c r="M6" s="16">
        <v>2785.7280000000001</v>
      </c>
      <c r="N6" s="27">
        <v>6681.0259999999998</v>
      </c>
      <c r="O6" s="28">
        <f t="shared" si="2"/>
        <v>2.8300001579479401</v>
      </c>
      <c r="P6" s="17">
        <f t="shared" si="14"/>
        <v>100.00000039171917</v>
      </c>
      <c r="Q6" s="17">
        <f>M6/$M$14*100</f>
        <v>3.816701783249222</v>
      </c>
      <c r="R6" s="16">
        <v>2094.5140000000001</v>
      </c>
      <c r="S6" s="27">
        <v>5023.2839999999997</v>
      </c>
      <c r="T6" s="28">
        <f t="shared" si="3"/>
        <v>2.8300002387188625</v>
      </c>
      <c r="U6" s="17">
        <f t="shared" si="15"/>
        <v>100.00000285409605</v>
      </c>
      <c r="V6" s="17">
        <f t="shared" si="16"/>
        <v>3.0418146585411958</v>
      </c>
      <c r="W6" s="16">
        <v>2005.43</v>
      </c>
      <c r="X6" s="27">
        <v>4809.6329999999998</v>
      </c>
      <c r="Y6" s="28">
        <f t="shared" si="4"/>
        <v>2.8300000199458464</v>
      </c>
      <c r="Z6" s="17">
        <f t="shared" si="17"/>
        <v>99.999992269505384</v>
      </c>
      <c r="AA6" s="17">
        <f t="shared" si="18"/>
        <v>2.8878372247248221</v>
      </c>
      <c r="AB6" s="16">
        <v>1781.222</v>
      </c>
      <c r="AC6" s="27">
        <v>4271.9139999999998</v>
      </c>
      <c r="AD6" s="28">
        <f t="shared" si="5"/>
        <v>2.8300001459672064</v>
      </c>
      <c r="AE6" s="17">
        <f t="shared" si="19"/>
        <v>100.00000445305155</v>
      </c>
      <c r="AF6" s="17">
        <f t="shared" si="20"/>
        <v>2.7465567428422757</v>
      </c>
      <c r="AG6" s="16">
        <v>1919.8009999999999</v>
      </c>
      <c r="AH6" s="27">
        <v>4604.2690000000002</v>
      </c>
      <c r="AI6" s="28">
        <f t="shared" si="6"/>
        <v>2.8300003073235196</v>
      </c>
      <c r="AJ6" s="17">
        <f t="shared" si="21"/>
        <v>100.00000570163621</v>
      </c>
      <c r="AK6" s="17">
        <f t="shared" si="22"/>
        <v>2.6921776000507078</v>
      </c>
      <c r="AL6" s="15">
        <f t="shared" si="23"/>
        <v>13786.972</v>
      </c>
      <c r="AM6" s="15">
        <f t="shared" si="24"/>
        <v>33065.366999999998</v>
      </c>
      <c r="AN6" s="26">
        <f t="shared" si="25"/>
        <v>2.8300001668241586</v>
      </c>
      <c r="AO6" s="17">
        <f>AL6/$AL$14*100</f>
        <v>3.2670924627054601</v>
      </c>
      <c r="AP6" s="16">
        <v>3077.8090000000002</v>
      </c>
      <c r="AQ6" s="27">
        <v>7929.2709999999997</v>
      </c>
      <c r="AR6" s="28">
        <f t="shared" si="7"/>
        <v>3.040000136460709</v>
      </c>
      <c r="AS6" s="17">
        <f t="shared" si="8"/>
        <v>107.42048785626449</v>
      </c>
      <c r="AT6" s="17">
        <f>AP6/AP14*100</f>
        <v>3.9501686741990283</v>
      </c>
      <c r="AU6" s="16">
        <v>3634.3589999999999</v>
      </c>
      <c r="AV6" s="27">
        <v>9363.0949999999993</v>
      </c>
      <c r="AW6" s="28">
        <f t="shared" si="9"/>
        <v>3.0400002036122462</v>
      </c>
      <c r="AX6" s="17">
        <f t="shared" si="26"/>
        <v>100.00000220893203</v>
      </c>
      <c r="AY6" s="17">
        <f>AU6/AU14*100</f>
        <v>4.3938985924060088</v>
      </c>
      <c r="AZ6" s="16">
        <v>2935.1480000000001</v>
      </c>
      <c r="BA6" s="27">
        <v>7561.7380000000003</v>
      </c>
      <c r="BB6" s="28">
        <f t="shared" si="10"/>
        <v>3.0400003134424565</v>
      </c>
      <c r="BC6" s="17">
        <f t="shared" si="27"/>
        <v>100.00000361283563</v>
      </c>
      <c r="BD6" s="17">
        <f>AZ6/AZ14*100</f>
        <v>3.7425825690030488</v>
      </c>
      <c r="BE6" s="15">
        <f t="shared" si="11"/>
        <v>23434.288</v>
      </c>
      <c r="BF6" s="15">
        <f t="shared" si="11"/>
        <v>57919.470999999998</v>
      </c>
      <c r="BG6" s="28">
        <f t="shared" si="12"/>
        <v>2.9164519860812494</v>
      </c>
      <c r="BH6" s="17">
        <f>BE6/BE14*100</f>
        <v>3.5450069589988238</v>
      </c>
      <c r="BI6" s="15">
        <v>19147.813000000002</v>
      </c>
      <c r="BJ6" s="15">
        <v>43895.329999999994</v>
      </c>
      <c r="BK6" s="28">
        <v>2.70508644512039</v>
      </c>
      <c r="BL6" s="91">
        <v>2.826694325293396</v>
      </c>
      <c r="BM6" s="17">
        <f t="shared" si="28"/>
        <v>122.38623805235616</v>
      </c>
      <c r="BN6" s="17">
        <f t="shared" si="29"/>
        <v>131.9490501609169</v>
      </c>
      <c r="BO6" s="17">
        <f t="shared" si="30"/>
        <v>107.81363351038686</v>
      </c>
      <c r="BP6" s="15">
        <v>2401.0419999999999</v>
      </c>
      <c r="BQ6" s="15">
        <v>6185.7359999999999</v>
      </c>
      <c r="BR6" s="28">
        <f t="shared" si="31"/>
        <v>3.040000333188674</v>
      </c>
      <c r="BS6" s="91">
        <f t="shared" si="32"/>
        <v>100.00000064954658</v>
      </c>
      <c r="BT6" s="91">
        <f>BP6/BP14*100</f>
        <v>3.2505975728519827</v>
      </c>
      <c r="BU6" s="15">
        <v>2970.377</v>
      </c>
      <c r="BV6" s="15">
        <v>7652.4970000000003</v>
      </c>
      <c r="BW6" s="28">
        <f t="shared" si="33"/>
        <v>3.0400001279298889</v>
      </c>
      <c r="BX6" s="91">
        <f t="shared" si="34"/>
        <v>104.2362481000295</v>
      </c>
      <c r="BY6" s="91">
        <f>BU6/BU14*100</f>
        <v>4.1158296889077084</v>
      </c>
      <c r="BZ6" s="15">
        <v>2594.0149999999999</v>
      </c>
      <c r="CA6" s="15">
        <v>6682.8860000000004</v>
      </c>
      <c r="CB6" s="28">
        <f t="shared" si="35"/>
        <v>3.0399999537396662</v>
      </c>
      <c r="CC6" s="91">
        <f t="shared" si="36"/>
        <v>99.999994270058707</v>
      </c>
      <c r="CD6" s="91">
        <f>BZ6/BZ14*100</f>
        <v>3.2622545746127636</v>
      </c>
      <c r="CE6" s="15">
        <f t="shared" si="37"/>
        <v>7965.4339999999993</v>
      </c>
      <c r="CF6" s="15">
        <f t="shared" si="38"/>
        <v>20521.118999999999</v>
      </c>
      <c r="CG6" s="28">
        <f t="shared" si="39"/>
        <v>3.040000133074984</v>
      </c>
      <c r="CH6" s="92">
        <f>CE6/CE14*100</f>
        <v>3.5315565223488083</v>
      </c>
      <c r="CJ6" s="34">
        <f t="shared" si="40"/>
        <v>31399.722000000002</v>
      </c>
      <c r="CK6" s="34">
        <f t="shared" si="41"/>
        <v>78440.59</v>
      </c>
    </row>
    <row r="7" spans="1:89" ht="32.25" customHeight="1">
      <c r="B7" s="7" t="s">
        <v>2</v>
      </c>
      <c r="C7" s="15">
        <v>27391.741000000002</v>
      </c>
      <c r="D7" s="15">
        <v>65693.751999999993</v>
      </c>
      <c r="E7" s="30">
        <f t="shared" si="0"/>
        <v>2.8300000120474267</v>
      </c>
      <c r="F7" s="17">
        <v>100.0000003402405</v>
      </c>
      <c r="G7" s="17">
        <f>C7/$C$14*100</f>
        <v>39.179221028135302</v>
      </c>
      <c r="H7" s="15">
        <v>28838.513999999999</v>
      </c>
      <c r="I7" s="15">
        <v>69163.554999999993</v>
      </c>
      <c r="J7" s="30">
        <f t="shared" si="1"/>
        <v>2.8300000097092379</v>
      </c>
      <c r="K7" s="17">
        <f t="shared" si="13"/>
        <v>99.999999917378489</v>
      </c>
      <c r="L7" s="17">
        <f>H7/$H$14*100</f>
        <v>38.687252941023303</v>
      </c>
      <c r="M7" s="15">
        <v>28496.611000000001</v>
      </c>
      <c r="N7" s="15">
        <v>68343.566999999995</v>
      </c>
      <c r="O7" s="30">
        <f t="shared" si="2"/>
        <v>2.8299999975435672</v>
      </c>
      <c r="P7" s="17">
        <f t="shared" si="14"/>
        <v>99.999999570117652</v>
      </c>
      <c r="Q7" s="17">
        <f>M7/$M$14*100</f>
        <v>39.042959693214627</v>
      </c>
      <c r="R7" s="15">
        <v>32388.684000000001</v>
      </c>
      <c r="S7" s="15">
        <v>77677.942999999999</v>
      </c>
      <c r="T7" s="30">
        <f t="shared" si="3"/>
        <v>2.8299999079925566</v>
      </c>
      <c r="U7" s="17">
        <f t="shared" si="15"/>
        <v>99.999996835653334</v>
      </c>
      <c r="V7" s="17">
        <f t="shared" si="16"/>
        <v>47.037343155528532</v>
      </c>
      <c r="W7" s="15">
        <v>25497.241999999998</v>
      </c>
      <c r="X7" s="15">
        <v>61150.163</v>
      </c>
      <c r="Y7" s="30">
        <f t="shared" si="4"/>
        <v>2.829999901165781</v>
      </c>
      <c r="Z7" s="17">
        <f t="shared" si="17"/>
        <v>99.999999758771168</v>
      </c>
      <c r="AA7" s="17">
        <f t="shared" si="18"/>
        <v>36.716257648193732</v>
      </c>
      <c r="AB7" s="15">
        <v>22439.476999999999</v>
      </c>
      <c r="AC7" s="15">
        <v>53816.712</v>
      </c>
      <c r="AD7" s="30">
        <f t="shared" si="5"/>
        <v>2.8300000111410797</v>
      </c>
      <c r="AE7" s="17">
        <f t="shared" si="19"/>
        <v>100.00000388605311</v>
      </c>
      <c r="AF7" s="17">
        <f t="shared" si="20"/>
        <v>34.600570204165543</v>
      </c>
      <c r="AG7" s="15">
        <v>22992.07</v>
      </c>
      <c r="AH7" s="15">
        <v>55141.999000000003</v>
      </c>
      <c r="AI7" s="30">
        <f t="shared" si="6"/>
        <v>2.8300000313151448</v>
      </c>
      <c r="AJ7" s="17">
        <f t="shared" si="21"/>
        <v>100.00000071286448</v>
      </c>
      <c r="AK7" s="17">
        <f t="shared" si="22"/>
        <v>32.242266689515155</v>
      </c>
      <c r="AL7" s="15">
        <f t="shared" si="23"/>
        <v>160652.598</v>
      </c>
      <c r="AM7" s="15">
        <f t="shared" si="24"/>
        <v>385293.93900000001</v>
      </c>
      <c r="AN7" s="26">
        <f t="shared" si="25"/>
        <v>2.8299999731096785</v>
      </c>
      <c r="AO7" s="17">
        <f>AL7/$AL$14*100</f>
        <v>38.069772829004819</v>
      </c>
      <c r="AP7" s="15">
        <v>25019.805</v>
      </c>
      <c r="AQ7" s="15">
        <v>64457.824999999997</v>
      </c>
      <c r="AR7" s="30">
        <f t="shared" si="7"/>
        <v>3.0400010511672648</v>
      </c>
      <c r="AS7" s="17">
        <f t="shared" si="8"/>
        <v>107.42053065471273</v>
      </c>
      <c r="AT7" s="17">
        <f>AP7/AP14*100</f>
        <v>32.111300586088419</v>
      </c>
      <c r="AU7" s="15">
        <v>26225.576000000001</v>
      </c>
      <c r="AV7" s="15">
        <v>67564.22</v>
      </c>
      <c r="AW7" s="30">
        <f t="shared" si="9"/>
        <v>3.0400010890132592</v>
      </c>
      <c r="AX7" s="17">
        <f t="shared" si="26"/>
        <v>100.0000012449336</v>
      </c>
      <c r="AY7" s="17">
        <f>AU7/AU14*100</f>
        <v>31.706422362633084</v>
      </c>
      <c r="AZ7" s="15">
        <v>26076.601999999999</v>
      </c>
      <c r="BA7" s="15">
        <v>67180.421000000002</v>
      </c>
      <c r="BB7" s="30">
        <f t="shared" si="10"/>
        <v>3.0400010239064121</v>
      </c>
      <c r="BC7" s="17">
        <f t="shared" si="27"/>
        <v>99.999997858328172</v>
      </c>
      <c r="BD7" s="17">
        <f>AZ7/AZ14*100</f>
        <v>33.250056250666077</v>
      </c>
      <c r="BE7" s="15">
        <f t="shared" si="11"/>
        <v>237974.58100000001</v>
      </c>
      <c r="BF7" s="15">
        <f t="shared" si="11"/>
        <v>584496.40500000003</v>
      </c>
      <c r="BG7" s="30">
        <f t="shared" si="12"/>
        <v>2.8982328911002471</v>
      </c>
      <c r="BH7" s="17">
        <f>BE7/BE14*100</f>
        <v>35.999452840633744</v>
      </c>
      <c r="BI7" s="15">
        <v>232059.13799999998</v>
      </c>
      <c r="BJ7" s="15">
        <v>530149.40399999998</v>
      </c>
      <c r="BK7" s="30">
        <v>2.6957623910505086</v>
      </c>
      <c r="BL7" s="91">
        <v>34.257711234023283</v>
      </c>
      <c r="BM7" s="17">
        <f t="shared" si="28"/>
        <v>102.5491101324353</v>
      </c>
      <c r="BN7" s="17">
        <f t="shared" si="29"/>
        <v>110.25126135952424</v>
      </c>
      <c r="BO7" s="17">
        <f t="shared" si="30"/>
        <v>107.51069533138038</v>
      </c>
      <c r="BP7" s="15">
        <v>27236.09</v>
      </c>
      <c r="BQ7" s="15">
        <v>70167.577999999994</v>
      </c>
      <c r="BR7" s="30">
        <f t="shared" si="31"/>
        <v>3.0400010442027465</v>
      </c>
      <c r="BS7" s="91">
        <f t="shared" si="32"/>
        <v>100.00000066764237</v>
      </c>
      <c r="BT7" s="91">
        <f>BP7/BP14*100</f>
        <v>36.872977668853004</v>
      </c>
      <c r="BU7" s="15">
        <v>24108.311000000002</v>
      </c>
      <c r="BV7" s="15">
        <v>62109.569000000003</v>
      </c>
      <c r="BW7" s="30">
        <f t="shared" si="33"/>
        <v>3.0400010776366702</v>
      </c>
      <c r="BX7" s="91">
        <f t="shared" si="34"/>
        <v>104.89153880530988</v>
      </c>
      <c r="BY7" s="91">
        <f>BU7/BU14*100</f>
        <v>33.405087018658001</v>
      </c>
      <c r="BZ7" s="15">
        <v>30358.713</v>
      </c>
      <c r="CA7" s="15">
        <v>78169.546000000002</v>
      </c>
      <c r="CB7" s="30">
        <f t="shared" si="35"/>
        <v>3.0383390850593699</v>
      </c>
      <c r="CC7" s="91">
        <f t="shared" si="36"/>
        <v>99.945329210916185</v>
      </c>
      <c r="CD7" s="91">
        <f>BZ7/BZ14*100</f>
        <v>38.179366874750521</v>
      </c>
      <c r="CE7" s="15">
        <f t="shared" si="37"/>
        <v>81703.114000000001</v>
      </c>
      <c r="CF7" s="15">
        <f t="shared" si="38"/>
        <v>210446.693</v>
      </c>
      <c r="CG7" s="28">
        <f t="shared" si="39"/>
        <v>3.0393835140726706</v>
      </c>
      <c r="CH7" s="92">
        <f>CE7/CE14*100</f>
        <v>36.223910102438644</v>
      </c>
      <c r="CJ7" s="34">
        <f t="shared" si="40"/>
        <v>319677.69500000001</v>
      </c>
      <c r="CK7" s="34">
        <f t="shared" si="41"/>
        <v>794943.098</v>
      </c>
    </row>
    <row r="8" spans="1:89" ht="30.75" customHeight="1">
      <c r="A8" s="5">
        <f>BP9+BP10+BP11+BP12+BP13</f>
        <v>2276.7220000000002</v>
      </c>
      <c r="B8" s="8" t="s">
        <v>22</v>
      </c>
      <c r="C8" s="15">
        <f>C9+C10+C11+C12+C13</f>
        <v>1539.2809999999999</v>
      </c>
      <c r="D8" s="15">
        <f>D9+D10+D11+D12+D13</f>
        <v>5270.08</v>
      </c>
      <c r="E8" s="29">
        <f t="shared" si="0"/>
        <v>4.0399994542906725</v>
      </c>
      <c r="F8" s="17">
        <v>99.999951653076096</v>
      </c>
      <c r="G8" s="17">
        <f>C8/$C$14*100</f>
        <v>2.2016793501153922</v>
      </c>
      <c r="H8" s="15">
        <v>1988.3340000000001</v>
      </c>
      <c r="I8" s="15">
        <v>6807.5159999999996</v>
      </c>
      <c r="J8" s="29">
        <f t="shared" si="1"/>
        <v>4.0399997585918657</v>
      </c>
      <c r="K8" s="17">
        <f t="shared" si="13"/>
        <v>100.00000753220877</v>
      </c>
      <c r="L8" s="17">
        <f>H8/$H$14*100</f>
        <v>2.6673767028785407</v>
      </c>
      <c r="M8" s="15">
        <v>2160.5349999999999</v>
      </c>
      <c r="N8" s="15">
        <v>7397.0860000000002</v>
      </c>
      <c r="O8" s="29">
        <f t="shared" si="2"/>
        <v>4.0400000370278661</v>
      </c>
      <c r="P8" s="17">
        <f t="shared" si="14"/>
        <v>100.00000689198063</v>
      </c>
      <c r="Q8" s="17">
        <f>M8/$M$14*100</f>
        <v>2.960130273764114</v>
      </c>
      <c r="R8" s="15">
        <v>1633.7090000000001</v>
      </c>
      <c r="S8" s="15">
        <v>5593.3760000000002</v>
      </c>
      <c r="T8" s="29">
        <f t="shared" si="3"/>
        <v>4.0399995837692027</v>
      </c>
      <c r="U8" s="17">
        <f t="shared" si="15"/>
        <v>99.999988780726255</v>
      </c>
      <c r="V8" s="17">
        <f t="shared" si="16"/>
        <v>2.3725981225194381</v>
      </c>
      <c r="W8" s="15">
        <v>1831.135</v>
      </c>
      <c r="X8" s="15">
        <v>6269.31</v>
      </c>
      <c r="Y8" s="29">
        <f t="shared" si="4"/>
        <v>4.040000218443752</v>
      </c>
      <c r="Z8" s="17">
        <f t="shared" si="17"/>
        <v>100.00001570976768</v>
      </c>
      <c r="AA8" s="17">
        <f t="shared" si="18"/>
        <v>2.6368508581683163</v>
      </c>
      <c r="AB8" s="15">
        <v>1800.703</v>
      </c>
      <c r="AC8" s="15">
        <f>AC9+AC10+AC11+AC12+AC13</f>
        <v>6165.1220000000003</v>
      </c>
      <c r="AD8" s="29">
        <f t="shared" si="5"/>
        <v>4.0400021325004731</v>
      </c>
      <c r="AE8" s="17">
        <f t="shared" si="19"/>
        <v>100.00004737763905</v>
      </c>
      <c r="AF8" s="17">
        <f t="shared" si="20"/>
        <v>2.7765954869782177</v>
      </c>
      <c r="AG8" s="15">
        <f>AG9+AG10+AG11+AG12+AG13</f>
        <v>4685.7879999999996</v>
      </c>
      <c r="AH8" s="15">
        <f>AH9+AH10+AH11+AH12+AH13</f>
        <v>16042.870999999999</v>
      </c>
      <c r="AI8" s="29">
        <f t="shared" si="6"/>
        <v>4.040000909132039</v>
      </c>
      <c r="AJ8" s="17">
        <f t="shared" si="21"/>
        <v>99.999969718619099</v>
      </c>
      <c r="AK8" s="17">
        <f t="shared" si="22"/>
        <v>6.5709797485189378</v>
      </c>
      <c r="AL8" s="15">
        <f t="shared" si="23"/>
        <v>14100.203999999998</v>
      </c>
      <c r="AM8" s="15">
        <f t="shared" si="24"/>
        <v>48275.281000000003</v>
      </c>
      <c r="AN8" s="26">
        <f t="shared" si="25"/>
        <v>4.0400005262335217</v>
      </c>
      <c r="AO8" s="17">
        <f>AL8/$AL$14*100</f>
        <v>3.3413189067918161</v>
      </c>
      <c r="AP8" s="15">
        <v>2580.7199999999998</v>
      </c>
      <c r="AQ8" s="15">
        <v>9491.8040000000001</v>
      </c>
      <c r="AR8" s="29">
        <f t="shared" si="7"/>
        <v>4.3400015189559502</v>
      </c>
      <c r="AS8" s="17">
        <f t="shared" si="8"/>
        <v>107.42575599787089</v>
      </c>
      <c r="AT8" s="17">
        <f>AP8/AP14*100</f>
        <v>3.3121871113116228</v>
      </c>
      <c r="AU8" s="15">
        <f>AU9+AU10+AU11+AU12+AU13</f>
        <v>2916.74</v>
      </c>
      <c r="AV8" s="15">
        <f>AV9+AV10+AV11+AV12+AV13</f>
        <v>10727.674000000001</v>
      </c>
      <c r="AW8" s="29">
        <f t="shared" si="9"/>
        <v>4.3400012753965047</v>
      </c>
      <c r="AX8" s="17">
        <f t="shared" si="26"/>
        <v>99.999994388033173</v>
      </c>
      <c r="AY8" s="17">
        <f>AU8/AU14*100</f>
        <v>3.5263054036253161</v>
      </c>
      <c r="AZ8" s="15">
        <f>AZ9+AZ10+AZ11+AZ12+AZ13</f>
        <v>2131.721</v>
      </c>
      <c r="BA8" s="15">
        <f>BA9+BA10+BA11+BA12+BA13</f>
        <v>7737.2719999999999</v>
      </c>
      <c r="BB8" s="29">
        <f t="shared" si="10"/>
        <v>4.2829155222470483</v>
      </c>
      <c r="BC8" s="17">
        <f t="shared" si="27"/>
        <v>98.684660452219774</v>
      </c>
      <c r="BD8" s="17">
        <f>AZ8/AZ14*100</f>
        <v>2.7181395475041623</v>
      </c>
      <c r="BE8" s="15">
        <f>BE9+BE10+BE11+BE12+BE13</f>
        <v>21729.384999999998</v>
      </c>
      <c r="BF8" s="15">
        <f>BF9+BF10+BF11+BF12+BF13</f>
        <v>76232.031000000003</v>
      </c>
      <c r="BG8" s="29">
        <f t="shared" si="12"/>
        <v>4.1397304424400421</v>
      </c>
      <c r="BH8" s="17">
        <f>BE8/BE14*100</f>
        <v>3.2870988459203305</v>
      </c>
      <c r="BI8" s="15">
        <v>20885.079000000002</v>
      </c>
      <c r="BJ8" s="15">
        <v>67352.340000000011</v>
      </c>
      <c r="BK8" s="29">
        <v>3.8053847533926017</v>
      </c>
      <c r="BL8" s="91">
        <v>3.0831580762045396</v>
      </c>
      <c r="BM8" s="17">
        <f t="shared" si="28"/>
        <v>104.0426277535268</v>
      </c>
      <c r="BN8" s="17">
        <f t="shared" si="29"/>
        <v>113.18393837541501</v>
      </c>
      <c r="BO8" s="17">
        <f t="shared" si="30"/>
        <v>108.78612047702568</v>
      </c>
      <c r="BP8" s="15">
        <f>BP9+BP10+BP11+BP12+BP13</f>
        <v>2276.7220000000002</v>
      </c>
      <c r="BQ8" s="15">
        <f>BQ9+BQ10+BQ11+BQ12+BQ13</f>
        <v>8227.3529999999992</v>
      </c>
      <c r="BR8" s="29">
        <f t="shared" si="31"/>
        <v>4.2641466722770707</v>
      </c>
      <c r="BS8" s="91">
        <f t="shared" si="32"/>
        <v>99.561773986143663</v>
      </c>
      <c r="BT8" s="91">
        <f>BP8/BP14*100</f>
        <v>3.0822896922497449</v>
      </c>
      <c r="BU8" s="15">
        <v>2156.25</v>
      </c>
      <c r="BV8" s="15">
        <v>7802.2389999999996</v>
      </c>
      <c r="BW8" s="29">
        <f t="shared" si="33"/>
        <v>4.2697470237681152</v>
      </c>
      <c r="BX8" s="91">
        <f t="shared" si="34"/>
        <v>103.14070162624982</v>
      </c>
      <c r="BY8" s="91">
        <f>BU8/BU14*100</f>
        <v>2.9877546744764207</v>
      </c>
      <c r="BZ8" s="15">
        <f>BZ9+BZ10+BZ11+BZ12+BZ13</f>
        <v>3445.7099999999996</v>
      </c>
      <c r="CA8" s="15">
        <f>CA9+CA10+CA11+CA12+CA13</f>
        <v>12475.205</v>
      </c>
      <c r="CB8" s="29">
        <f t="shared" si="35"/>
        <v>4.2721940906228326</v>
      </c>
      <c r="CC8" s="91">
        <f t="shared" si="36"/>
        <v>100.05731175268922</v>
      </c>
      <c r="CD8" s="91">
        <f>BZ8/BZ14*100</f>
        <v>4.333353203543135</v>
      </c>
      <c r="CE8" s="15">
        <f t="shared" si="37"/>
        <v>7878.6819999999989</v>
      </c>
      <c r="CF8" s="15">
        <f t="shared" si="38"/>
        <v>28504.796999999999</v>
      </c>
      <c r="CG8" s="28">
        <f t="shared" si="39"/>
        <v>4.2691988913881795</v>
      </c>
      <c r="CH8" s="92">
        <f>CE8/CE14*100</f>
        <v>3.493094137069261</v>
      </c>
      <c r="CJ8" s="34">
        <f t="shared" si="40"/>
        <v>29608.066999999995</v>
      </c>
      <c r="CK8" s="34">
        <f t="shared" si="41"/>
        <v>104736.82800000001</v>
      </c>
    </row>
    <row r="9" spans="1:89" ht="29.25" customHeight="1">
      <c r="B9" s="9" t="s">
        <v>3</v>
      </c>
      <c r="C9" s="90">
        <v>88.99</v>
      </c>
      <c r="D9" s="90">
        <v>304.678</v>
      </c>
      <c r="E9" s="30">
        <f t="shared" si="0"/>
        <v>4.0400049443757728</v>
      </c>
      <c r="F9" s="17">
        <v>99.999945622413904</v>
      </c>
      <c r="G9" s="17">
        <f>C9/$C$8*100</f>
        <v>5.781270606211601</v>
      </c>
      <c r="H9" s="90">
        <v>107.973</v>
      </c>
      <c r="I9" s="90">
        <v>369.67</v>
      </c>
      <c r="J9" s="30">
        <f t="shared" si="1"/>
        <v>4.0399970362961115</v>
      </c>
      <c r="K9" s="17">
        <f t="shared" si="13"/>
        <v>99.999804255693491</v>
      </c>
      <c r="L9" s="17">
        <f>H9/$H$8*100</f>
        <v>5.4303250862279677</v>
      </c>
      <c r="M9" s="90">
        <v>91.067999999999998</v>
      </c>
      <c r="N9" s="90">
        <v>311.79199999999997</v>
      </c>
      <c r="O9" s="30">
        <f t="shared" si="2"/>
        <v>4.0399982430711114</v>
      </c>
      <c r="P9" s="17">
        <f t="shared" si="14"/>
        <v>100.00002987069023</v>
      </c>
      <c r="Q9" s="17">
        <f>M9/$M$8*100</f>
        <v>4.2150671014355243</v>
      </c>
      <c r="R9" s="90">
        <v>101.809</v>
      </c>
      <c r="S9" s="90">
        <v>348.56599999999997</v>
      </c>
      <c r="T9" s="30">
        <f t="shared" si="3"/>
        <v>4.0399952852891197</v>
      </c>
      <c r="U9" s="17">
        <f t="shared" si="15"/>
        <v>99.99992678754262</v>
      </c>
      <c r="V9" s="17">
        <f>R9/$R$8*100</f>
        <v>6.2317707743545512</v>
      </c>
      <c r="W9" s="90">
        <v>111.982</v>
      </c>
      <c r="X9" s="90">
        <v>383.39600000000002</v>
      </c>
      <c r="Y9" s="30">
        <f t="shared" si="4"/>
        <v>4.04</v>
      </c>
      <c r="Z9" s="17">
        <f t="shared" si="17"/>
        <v>100.00011670090056</v>
      </c>
      <c r="AA9" s="17">
        <f>W9/$W$8*100</f>
        <v>6.115442061890576</v>
      </c>
      <c r="AB9" s="91">
        <v>87.867999999999995</v>
      </c>
      <c r="AC9" s="90">
        <v>300.83699999999999</v>
      </c>
      <c r="AD9" s="30">
        <f t="shared" si="5"/>
        <v>4.0400106978649788</v>
      </c>
      <c r="AE9" s="17">
        <f t="shared" si="19"/>
        <v>100.00026479863809</v>
      </c>
      <c r="AF9" s="17">
        <f>AB9/$AB$8*100</f>
        <v>4.8796497812243329</v>
      </c>
      <c r="AG9" s="91">
        <v>95.323999999999998</v>
      </c>
      <c r="AH9" s="90">
        <v>326.36399999999998</v>
      </c>
      <c r="AI9" s="30">
        <f t="shared" si="6"/>
        <v>4.040005874701019</v>
      </c>
      <c r="AJ9" s="17">
        <f t="shared" si="21"/>
        <v>99.9998806150696</v>
      </c>
      <c r="AK9" s="17">
        <f>AG9/$AG$8*100</f>
        <v>2.0343216551837173</v>
      </c>
      <c r="AL9" s="91">
        <f t="shared" si="23"/>
        <v>596.024</v>
      </c>
      <c r="AM9" s="90">
        <f t="shared" si="24"/>
        <v>2040.625</v>
      </c>
      <c r="AN9" s="26">
        <f t="shared" si="25"/>
        <v>4.0400009060037849</v>
      </c>
      <c r="AO9" s="17">
        <f>AL9/$AL$8*100</f>
        <v>4.227059409920594</v>
      </c>
      <c r="AP9" s="91">
        <v>88.343000000000004</v>
      </c>
      <c r="AQ9" s="90">
        <v>324.923</v>
      </c>
      <c r="AR9" s="30">
        <f t="shared" si="7"/>
        <v>4.3400058861483082</v>
      </c>
      <c r="AS9" s="17">
        <f t="shared" si="8"/>
        <v>107.42573205959734</v>
      </c>
      <c r="AT9" s="17">
        <f>AP9/AP8*100</f>
        <v>3.4231919774326549</v>
      </c>
      <c r="AU9" s="91">
        <v>91.391999999999996</v>
      </c>
      <c r="AV9" s="90">
        <v>336.137</v>
      </c>
      <c r="AW9" s="30">
        <f t="shared" si="9"/>
        <v>4.3400041579131647</v>
      </c>
      <c r="AX9" s="17">
        <f t="shared" si="26"/>
        <v>99.999960178967754</v>
      </c>
      <c r="AY9" s="17">
        <f>AU9/AU8*100</f>
        <v>3.13336121834651</v>
      </c>
      <c r="AZ9" s="91">
        <v>84.613</v>
      </c>
      <c r="BA9" s="90">
        <v>311.20400000000001</v>
      </c>
      <c r="BB9" s="30">
        <f t="shared" si="10"/>
        <v>4.340003545554465</v>
      </c>
      <c r="BC9" s="17">
        <f t="shared" si="27"/>
        <v>99.999985890366062</v>
      </c>
      <c r="BD9" s="17">
        <f>AZ9/AZ8*100</f>
        <v>3.9692342478213614</v>
      </c>
      <c r="BE9" s="91">
        <f t="shared" ref="BE9:BF13" si="42">AL9+AP9+AU9+AZ9</f>
        <v>860.37200000000007</v>
      </c>
      <c r="BF9" s="91">
        <f t="shared" si="42"/>
        <v>3012.8890000000001</v>
      </c>
      <c r="BG9" s="30">
        <f t="shared" si="12"/>
        <v>4.1321765701347788</v>
      </c>
      <c r="BH9" s="17">
        <f>BE9/BE8*100</f>
        <v>3.9594861980677325</v>
      </c>
      <c r="BI9" s="91">
        <v>866.96900000000005</v>
      </c>
      <c r="BJ9" s="91">
        <v>2776.21</v>
      </c>
      <c r="BK9" s="30">
        <v>3.7785985427391289</v>
      </c>
      <c r="BL9" s="91">
        <v>4.1511406301120521</v>
      </c>
      <c r="BM9" s="17">
        <f t="shared" si="28"/>
        <v>99.23907313871662</v>
      </c>
      <c r="BN9" s="17">
        <f t="shared" si="29"/>
        <v>108.52525565429127</v>
      </c>
      <c r="BO9" s="17">
        <f t="shared" si="30"/>
        <v>109.35738537440231</v>
      </c>
      <c r="BP9" s="91">
        <v>85.805999999999997</v>
      </c>
      <c r="BQ9" s="91">
        <v>315.59199999999998</v>
      </c>
      <c r="BR9" s="30">
        <f t="shared" si="31"/>
        <v>4.3400060601822714</v>
      </c>
      <c r="BS9" s="91">
        <f t="shared" si="32"/>
        <v>100.00005794068554</v>
      </c>
      <c r="BT9" s="91">
        <f>BP9/BP8*100</f>
        <v>3.7688395860364148</v>
      </c>
      <c r="BU9" s="91">
        <v>86.287999999999997</v>
      </c>
      <c r="BV9" s="91">
        <v>317.36399999999998</v>
      </c>
      <c r="BW9" s="30">
        <f t="shared" si="33"/>
        <v>4.3399953643612088</v>
      </c>
      <c r="BX9" s="91">
        <f t="shared" si="34"/>
        <v>105.02928155898361</v>
      </c>
      <c r="BY9" s="91">
        <f>BU9/BU8*100</f>
        <v>4.0017623188405791</v>
      </c>
      <c r="BZ9" s="91">
        <v>87.034999999999997</v>
      </c>
      <c r="CA9" s="91">
        <v>320.11200000000002</v>
      </c>
      <c r="CB9" s="30">
        <f t="shared" si="35"/>
        <v>4.3400029873039578</v>
      </c>
      <c r="CC9" s="91">
        <f t="shared" si="36"/>
        <v>100.00017564402974</v>
      </c>
      <c r="CD9" s="91">
        <f>BZ9/BZ8*100</f>
        <v>2.5258945181109262</v>
      </c>
      <c r="CE9" s="91">
        <f t="shared" ref="CE9:CE13" si="43">BP9+BU9+BZ9</f>
        <v>259.12900000000002</v>
      </c>
      <c r="CF9" s="91">
        <f t="shared" ref="CF9:CF13" si="44">BQ9+BV9+CA9</f>
        <v>953.06799999999998</v>
      </c>
      <c r="CG9" s="28">
        <f t="shared" si="39"/>
        <v>4.3400014664510715</v>
      </c>
      <c r="CH9" s="92">
        <f>CE9/CE8*100</f>
        <v>3.2889891989548512</v>
      </c>
      <c r="CJ9" s="34">
        <f t="shared" si="40"/>
        <v>1119.5010000000002</v>
      </c>
      <c r="CK9" s="34">
        <f t="shared" si="41"/>
        <v>3965.9570000000003</v>
      </c>
    </row>
    <row r="10" spans="1:89" ht="46.5" customHeight="1">
      <c r="B10" s="9" t="s">
        <v>4</v>
      </c>
      <c r="C10" s="90">
        <v>882.80899999999997</v>
      </c>
      <c r="D10" s="91">
        <v>3022.498</v>
      </c>
      <c r="E10" s="30">
        <f t="shared" si="0"/>
        <v>4.0399991844215455</v>
      </c>
      <c r="F10" s="17">
        <v>99.999966301439272</v>
      </c>
      <c r="G10" s="17">
        <f>C10/$C$8*100</f>
        <v>57.352036437791412</v>
      </c>
      <c r="H10" s="90">
        <v>1185.712</v>
      </c>
      <c r="I10" s="91">
        <v>4059.556</v>
      </c>
      <c r="J10" s="30">
        <f t="shared" si="1"/>
        <v>4.0399996626499517</v>
      </c>
      <c r="K10" s="17">
        <f t="shared" si="13"/>
        <v>100.00001183733917</v>
      </c>
      <c r="L10" s="17">
        <f>H10/$H$8*100</f>
        <v>59.633441866406741</v>
      </c>
      <c r="M10" s="90">
        <v>1491.596</v>
      </c>
      <c r="N10" s="91">
        <v>5106.82</v>
      </c>
      <c r="O10" s="30">
        <f t="shared" si="2"/>
        <v>4.0399998390985221</v>
      </c>
      <c r="P10" s="17">
        <f t="shared" si="14"/>
        <v>100.00000436753925</v>
      </c>
      <c r="Q10" s="17">
        <f>M10/$M$8*100</f>
        <v>69.038270613528596</v>
      </c>
      <c r="R10" s="90">
        <v>972.38900000000001</v>
      </c>
      <c r="S10" s="91">
        <v>3329.1959999999999</v>
      </c>
      <c r="T10" s="30">
        <f t="shared" si="3"/>
        <v>4.0399997120493953</v>
      </c>
      <c r="U10" s="17">
        <f t="shared" si="15"/>
        <v>99.999996855219507</v>
      </c>
      <c r="V10" s="17">
        <f t="shared" ref="V10:V13" si="45">R10/$R$8*100</f>
        <v>59.520330732094884</v>
      </c>
      <c r="W10" s="90">
        <v>1272.9870000000001</v>
      </c>
      <c r="X10" s="91">
        <v>4358.3620000000001</v>
      </c>
      <c r="Y10" s="30">
        <f t="shared" si="4"/>
        <v>4.0399997486227273</v>
      </c>
      <c r="Z10" s="17">
        <f t="shared" si="17"/>
        <v>100.00000090528056</v>
      </c>
      <c r="AA10" s="17">
        <f t="shared" ref="AA10:AA13" si="46">W10/$W$8*100</f>
        <v>69.519014163346782</v>
      </c>
      <c r="AB10" s="90">
        <v>1355.1890000000001</v>
      </c>
      <c r="AC10" s="91">
        <v>4639.8</v>
      </c>
      <c r="AD10" s="30">
        <f t="shared" si="5"/>
        <v>4.0400003246779592</v>
      </c>
      <c r="AE10" s="17">
        <f t="shared" si="19"/>
        <v>100.00001425879377</v>
      </c>
      <c r="AF10" s="17">
        <f t="shared" ref="AF10:AF13" si="47">AB10/$AB$8*100</f>
        <v>75.258885002135273</v>
      </c>
      <c r="AG10" s="90">
        <v>2885.4969999999998</v>
      </c>
      <c r="AH10" s="91">
        <v>9879.16</v>
      </c>
      <c r="AI10" s="30">
        <f t="shared" si="6"/>
        <v>4.0400003188358884</v>
      </c>
      <c r="AJ10" s="17">
        <f t="shared" si="21"/>
        <v>99.999999855394293</v>
      </c>
      <c r="AK10" s="17">
        <f t="shared" ref="AK10:AK13" si="48">AG10/$AG$8*100</f>
        <v>61.579759903777131</v>
      </c>
      <c r="AL10" s="90">
        <f t="shared" si="23"/>
        <v>9163.3700000000008</v>
      </c>
      <c r="AM10" s="91">
        <f t="shared" si="24"/>
        <v>31372.894</v>
      </c>
      <c r="AN10" s="26">
        <f t="shared" si="25"/>
        <v>4.040000013095618</v>
      </c>
      <c r="AO10" s="17">
        <f t="shared" ref="AO10:AO13" si="49">AL10/$AL$8*100</f>
        <v>64.98749947163887</v>
      </c>
      <c r="AP10" s="90">
        <v>2071.415</v>
      </c>
      <c r="AQ10" s="91">
        <v>7618.5950000000003</v>
      </c>
      <c r="AR10" s="30">
        <f t="shared" si="7"/>
        <v>4.3400004827617842</v>
      </c>
      <c r="AS10" s="17">
        <f t="shared" si="8"/>
        <v>107.42574604579089</v>
      </c>
      <c r="AT10" s="17">
        <f>AP10/AP8*100</f>
        <v>80.265003564896617</v>
      </c>
      <c r="AU10" s="90">
        <v>2410.183</v>
      </c>
      <c r="AV10" s="91">
        <v>8864.5720000000001</v>
      </c>
      <c r="AW10" s="30">
        <f t="shared" si="9"/>
        <v>4.3400003070306274</v>
      </c>
      <c r="AX10" s="17">
        <f t="shared" si="26"/>
        <v>99.999995950895453</v>
      </c>
      <c r="AY10" s="17">
        <f>AU10/AU8*100</f>
        <v>82.632768090402308</v>
      </c>
      <c r="AZ10" s="90">
        <v>1489.9269999999999</v>
      </c>
      <c r="BA10" s="91">
        <v>5479.9009999999998</v>
      </c>
      <c r="BB10" s="30">
        <f t="shared" si="10"/>
        <v>4.34</v>
      </c>
      <c r="BC10" s="17">
        <f t="shared" si="27"/>
        <v>99.999992925562083</v>
      </c>
      <c r="BD10" s="17">
        <f>AZ10/AZ8*100</f>
        <v>69.893152058829457</v>
      </c>
      <c r="BE10" s="90">
        <f t="shared" si="42"/>
        <v>15134.895</v>
      </c>
      <c r="BF10" s="90">
        <f t="shared" si="42"/>
        <v>53335.962</v>
      </c>
      <c r="BG10" s="30">
        <f t="shared" si="12"/>
        <v>4.1583661571487607</v>
      </c>
      <c r="BH10" s="17">
        <f>BE10/BE8*100</f>
        <v>69.651741179053161</v>
      </c>
      <c r="BI10" s="91">
        <v>14347.154999999999</v>
      </c>
      <c r="BJ10" s="91">
        <v>46213.421000000002</v>
      </c>
      <c r="BK10" s="30">
        <v>3.8008815531720401</v>
      </c>
      <c r="BL10" s="91">
        <v>68.695718124887136</v>
      </c>
      <c r="BM10" s="17">
        <f t="shared" si="28"/>
        <v>105.49056589965049</v>
      </c>
      <c r="BN10" s="17">
        <f t="shared" si="29"/>
        <v>115.41227817780467</v>
      </c>
      <c r="BO10" s="17">
        <f t="shared" si="30"/>
        <v>109.40530766285997</v>
      </c>
      <c r="BP10" s="91">
        <v>1453.124</v>
      </c>
      <c r="BQ10" s="91">
        <v>5344.5439999999999</v>
      </c>
      <c r="BR10" s="30">
        <f t="shared" si="31"/>
        <v>4.3400025875286623</v>
      </c>
      <c r="BS10" s="91">
        <f t="shared" si="32"/>
        <v>100.00005962047609</v>
      </c>
      <c r="BT10" s="91">
        <f>BP10/BP8*100</f>
        <v>63.825271596620048</v>
      </c>
      <c r="BU10" s="91">
        <v>1216.152</v>
      </c>
      <c r="BV10" s="91">
        <v>4472.9660000000003</v>
      </c>
      <c r="BW10" s="30">
        <f t="shared" si="33"/>
        <v>4.3400001644531274</v>
      </c>
      <c r="BX10" s="91">
        <f t="shared" si="34"/>
        <v>104.36791760129431</v>
      </c>
      <c r="BY10" s="91">
        <f>BU10/BU8*100</f>
        <v>56.401252173913043</v>
      </c>
      <c r="BZ10" s="91">
        <v>2319.3069999999998</v>
      </c>
      <c r="CA10" s="91">
        <v>8530.3320000000003</v>
      </c>
      <c r="CB10" s="30">
        <f t="shared" si="35"/>
        <v>4.3399997326787707</v>
      </c>
      <c r="CC10" s="91">
        <f t="shared" si="36"/>
        <v>99.999990051282481</v>
      </c>
      <c r="CD10" s="91">
        <f>BZ10/BZ8*100</f>
        <v>67.30998836234042</v>
      </c>
      <c r="CE10" s="91">
        <f t="shared" si="43"/>
        <v>4988.5829999999996</v>
      </c>
      <c r="CF10" s="91">
        <f t="shared" si="44"/>
        <v>18347.842000000001</v>
      </c>
      <c r="CG10" s="28">
        <f t="shared" si="39"/>
        <v>4.3400006695288029</v>
      </c>
      <c r="CH10" s="92">
        <f>CE10/CE8*100</f>
        <v>63.3174812741522</v>
      </c>
      <c r="CI10" s="93"/>
      <c r="CJ10" s="34">
        <f t="shared" si="40"/>
        <v>20123.477999999999</v>
      </c>
      <c r="CK10" s="34">
        <f t="shared" si="41"/>
        <v>71683.804000000004</v>
      </c>
    </row>
    <row r="11" spans="1:89">
      <c r="B11" s="9" t="s">
        <v>5</v>
      </c>
      <c r="C11" s="90">
        <v>149.84899999999999</v>
      </c>
      <c r="D11" s="90">
        <v>513.04200000000003</v>
      </c>
      <c r="E11" s="30">
        <f t="shared" si="0"/>
        <v>4.0399973306461847</v>
      </c>
      <c r="F11" s="17">
        <v>99.999775158016149</v>
      </c>
      <c r="G11" s="17">
        <f>C11/$C$8*100</f>
        <v>9.7349996524351301</v>
      </c>
      <c r="H11" s="90">
        <v>218.042</v>
      </c>
      <c r="I11" s="90">
        <v>746.51700000000005</v>
      </c>
      <c r="J11" s="30">
        <f t="shared" si="1"/>
        <v>4.0400017427835007</v>
      </c>
      <c r="K11" s="17">
        <f t="shared" si="13"/>
        <v>100.00010921139186</v>
      </c>
      <c r="L11" s="17">
        <f>H11/$H$8*100</f>
        <v>10.966065057480282</v>
      </c>
      <c r="M11" s="90">
        <v>167.886</v>
      </c>
      <c r="N11" s="90">
        <v>574.79600000000005</v>
      </c>
      <c r="O11" s="30">
        <f t="shared" si="2"/>
        <v>4.0399990469723503</v>
      </c>
      <c r="P11" s="17">
        <f t="shared" si="14"/>
        <v>99.99993327203002</v>
      </c>
      <c r="Q11" s="17">
        <f>M11/$M$8*100</f>
        <v>7.7705753436070237</v>
      </c>
      <c r="R11" s="90">
        <v>168.93100000000001</v>
      </c>
      <c r="S11" s="90">
        <v>578.37400000000002</v>
      </c>
      <c r="T11" s="30">
        <f t="shared" si="3"/>
        <v>4.0400004735661303</v>
      </c>
      <c r="U11" s="17">
        <f t="shared" si="15"/>
        <v>100.00003531173556</v>
      </c>
      <c r="V11" s="17">
        <f t="shared" si="45"/>
        <v>10.340336008432347</v>
      </c>
      <c r="W11" s="90">
        <v>126.26300000000001</v>
      </c>
      <c r="X11" s="90">
        <v>432.29</v>
      </c>
      <c r="Y11" s="30">
        <f t="shared" si="4"/>
        <v>4.0399974656075015</v>
      </c>
      <c r="Z11" s="17">
        <f t="shared" si="17"/>
        <v>99.999925545587217</v>
      </c>
      <c r="AA11" s="17">
        <f t="shared" si="46"/>
        <v>6.8953408678224166</v>
      </c>
      <c r="AB11" s="90">
        <v>80.123000000000005</v>
      </c>
      <c r="AC11" s="90">
        <v>274.32</v>
      </c>
      <c r="AD11" s="30">
        <f t="shared" si="5"/>
        <v>4.0400084869513115</v>
      </c>
      <c r="AE11" s="17">
        <f t="shared" si="19"/>
        <v>100.00027280571101</v>
      </c>
      <c r="AF11" s="17">
        <f t="shared" si="47"/>
        <v>4.4495399852168847</v>
      </c>
      <c r="AG11" s="90">
        <v>113.816</v>
      </c>
      <c r="AH11" s="90">
        <v>389.67599999999999</v>
      </c>
      <c r="AI11" s="30">
        <f t="shared" si="6"/>
        <v>4.0400091375553524</v>
      </c>
      <c r="AJ11" s="17">
        <f t="shared" si="21"/>
        <v>100.00001610402659</v>
      </c>
      <c r="AK11" s="17">
        <f t="shared" si="48"/>
        <v>2.4289617882840626</v>
      </c>
      <c r="AL11" s="90">
        <f t="shared" si="23"/>
        <v>875.06100000000015</v>
      </c>
      <c r="AM11" s="90">
        <f t="shared" si="24"/>
        <v>2995.9730000000004</v>
      </c>
      <c r="AN11" s="26">
        <f t="shared" si="25"/>
        <v>4.0400019427217071</v>
      </c>
      <c r="AO11" s="17">
        <f t="shared" si="49"/>
        <v>6.2060165938024747</v>
      </c>
      <c r="AP11" s="90">
        <v>115.203</v>
      </c>
      <c r="AQ11" s="90">
        <v>423.71300000000002</v>
      </c>
      <c r="AR11" s="30">
        <f t="shared" si="7"/>
        <v>4.3400027777054415</v>
      </c>
      <c r="AS11" s="17">
        <f t="shared" si="8"/>
        <v>107.42556835729383</v>
      </c>
      <c r="AT11" s="17">
        <f>AP11/AP8*100</f>
        <v>4.4639867943829632</v>
      </c>
      <c r="AU11" s="90">
        <v>114.081</v>
      </c>
      <c r="AV11" s="90">
        <v>419.58699999999999</v>
      </c>
      <c r="AW11" s="30">
        <f t="shared" si="9"/>
        <v>4.3400098175857496</v>
      </c>
      <c r="AX11" s="17">
        <f t="shared" si="26"/>
        <v>100.00016220911986</v>
      </c>
      <c r="AY11" s="17">
        <f>AU11/AU8*100</f>
        <v>3.9112502314227533</v>
      </c>
      <c r="AZ11" s="90">
        <v>89.454999999999998</v>
      </c>
      <c r="BA11" s="90">
        <v>329.01299999999998</v>
      </c>
      <c r="BB11" s="30">
        <f t="shared" si="10"/>
        <v>4.3400071544351899</v>
      </c>
      <c r="BC11" s="17">
        <f t="shared" si="27"/>
        <v>99.999938637222684</v>
      </c>
      <c r="BD11" s="17">
        <f>AZ11/AZ8*100</f>
        <v>4.1963746662907573</v>
      </c>
      <c r="BE11" s="90">
        <f t="shared" si="42"/>
        <v>1193.8</v>
      </c>
      <c r="BF11" s="90">
        <f t="shared" si="42"/>
        <v>4168.286000000001</v>
      </c>
      <c r="BG11" s="30">
        <f t="shared" si="12"/>
        <v>4.1201017590886257</v>
      </c>
      <c r="BH11" s="17">
        <f>BE11/BE8*100</f>
        <v>5.4939428796535195</v>
      </c>
      <c r="BI11" s="91">
        <v>1160.7450000000001</v>
      </c>
      <c r="BJ11" s="91">
        <v>3679.7369999999996</v>
      </c>
      <c r="BK11" s="30">
        <v>3.7407782587906895</v>
      </c>
      <c r="BL11" s="91">
        <v>5.5577716512348365</v>
      </c>
      <c r="BM11" s="17">
        <f t="shared" si="28"/>
        <v>102.84774002903308</v>
      </c>
      <c r="BN11" s="17">
        <f t="shared" si="29"/>
        <v>113.27673689722937</v>
      </c>
      <c r="BO11" s="17">
        <f t="shared" si="30"/>
        <v>110.14022949386376</v>
      </c>
      <c r="BP11" s="91">
        <v>140.798</v>
      </c>
      <c r="BQ11" s="91">
        <v>517.851</v>
      </c>
      <c r="BR11" s="30">
        <f t="shared" si="31"/>
        <v>4.3400061080413073</v>
      </c>
      <c r="BS11" s="91">
        <f t="shared" si="32"/>
        <v>99.99997588958162</v>
      </c>
      <c r="BT11" s="91">
        <f>BP11/BP8*100</f>
        <v>6.184242081378402</v>
      </c>
      <c r="BU11" s="91">
        <v>191.53299999999999</v>
      </c>
      <c r="BV11" s="91">
        <v>704.452</v>
      </c>
      <c r="BW11" s="30">
        <f t="shared" si="33"/>
        <v>4.3400007309445368</v>
      </c>
      <c r="BX11" s="91">
        <f t="shared" si="34"/>
        <v>105.33722186280548</v>
      </c>
      <c r="BY11" s="91">
        <f>BU11/BU8*100</f>
        <v>8.8826898550724636</v>
      </c>
      <c r="BZ11" s="91">
        <v>225.03299999999999</v>
      </c>
      <c r="CA11" s="91">
        <v>827.66399999999999</v>
      </c>
      <c r="CB11" s="30">
        <f t="shared" si="35"/>
        <v>4.3400013331378062</v>
      </c>
      <c r="CC11" s="91">
        <f t="shared" si="36"/>
        <v>100.00001387541862</v>
      </c>
      <c r="CD11" s="91">
        <f>BZ11/BZ8*100</f>
        <v>6.5308165806176373</v>
      </c>
      <c r="CE11" s="91">
        <f t="shared" si="43"/>
        <v>557.36400000000003</v>
      </c>
      <c r="CF11" s="91">
        <f t="shared" si="44"/>
        <v>2049.9669999999996</v>
      </c>
      <c r="CG11" s="28">
        <f t="shared" si="39"/>
        <v>4.3400023324075452</v>
      </c>
      <c r="CH11" s="92">
        <f>CE11/CE8*100</f>
        <v>7.0743304527330855</v>
      </c>
      <c r="CJ11" s="34">
        <f t="shared" si="40"/>
        <v>1751.164</v>
      </c>
      <c r="CK11" s="34">
        <f t="shared" si="41"/>
        <v>6218.2530000000006</v>
      </c>
    </row>
    <row r="12" spans="1:89" ht="48.75" customHeight="1">
      <c r="B12" s="9" t="s">
        <v>12</v>
      </c>
      <c r="C12" s="90">
        <v>62.134999999999998</v>
      </c>
      <c r="D12" s="90">
        <v>212.733</v>
      </c>
      <c r="E12" s="29">
        <f t="shared" si="0"/>
        <v>4.0399925967651082</v>
      </c>
      <c r="F12" s="17">
        <v>99.999792065429091</v>
      </c>
      <c r="G12" s="17">
        <f>C12/$C$8*100</f>
        <v>4.0366248917514085</v>
      </c>
      <c r="H12" s="90">
        <v>59.947000000000003</v>
      </c>
      <c r="I12" s="90">
        <v>205.24199999999999</v>
      </c>
      <c r="J12" s="29">
        <f t="shared" si="1"/>
        <v>4.0399946619513898</v>
      </c>
      <c r="K12" s="17">
        <f t="shared" si="13"/>
        <v>100.00005111856598</v>
      </c>
      <c r="L12" s="17">
        <f>H12/$H$8*100</f>
        <v>3.0149361224019708</v>
      </c>
      <c r="M12" s="90">
        <v>56.377000000000002</v>
      </c>
      <c r="N12" s="90">
        <v>193.02</v>
      </c>
      <c r="O12" s="29">
        <f t="shared" si="2"/>
        <v>4.0400092236195615</v>
      </c>
      <c r="P12" s="17">
        <f t="shared" si="14"/>
        <v>100.00036043780722</v>
      </c>
      <c r="Q12" s="17">
        <f>M12/$M$8*100</f>
        <v>2.6093999865773991</v>
      </c>
      <c r="R12" s="90">
        <v>54.896000000000001</v>
      </c>
      <c r="S12" s="90">
        <v>187.94900000000001</v>
      </c>
      <c r="T12" s="29">
        <f t="shared" si="3"/>
        <v>4.0399996356747305</v>
      </c>
      <c r="U12" s="17">
        <f t="shared" si="15"/>
        <v>99.999762675174736</v>
      </c>
      <c r="V12" s="17">
        <f t="shared" si="45"/>
        <v>3.3602067442855486</v>
      </c>
      <c r="W12" s="90">
        <v>62.834000000000003</v>
      </c>
      <c r="X12" s="90">
        <v>215.12700000000001</v>
      </c>
      <c r="Y12" s="29">
        <f t="shared" si="4"/>
        <v>4.0400079574752521</v>
      </c>
      <c r="Z12" s="17">
        <f t="shared" si="17"/>
        <v>100.00020598518</v>
      </c>
      <c r="AA12" s="17">
        <f t="shared" si="46"/>
        <v>3.4314236798488369</v>
      </c>
      <c r="AB12" s="90">
        <v>55.753</v>
      </c>
      <c r="AC12" s="90">
        <v>190.88399999999999</v>
      </c>
      <c r="AD12" s="29">
        <f t="shared" si="5"/>
        <v>4.040017936254551</v>
      </c>
      <c r="AE12" s="17">
        <f t="shared" si="19"/>
        <v>100.00024699900109</v>
      </c>
      <c r="AF12" s="17">
        <f t="shared" si="47"/>
        <v>3.0961796587221766</v>
      </c>
      <c r="AG12" s="90">
        <v>58.695999999999998</v>
      </c>
      <c r="AH12" s="90">
        <v>200.96</v>
      </c>
      <c r="AI12" s="29">
        <f t="shared" si="6"/>
        <v>4.0400163554586346</v>
      </c>
      <c r="AJ12" s="17">
        <f t="shared" si="21"/>
        <v>99.999960871561925</v>
      </c>
      <c r="AK12" s="17">
        <f t="shared" si="48"/>
        <v>1.2526388304379115</v>
      </c>
      <c r="AL12" s="90">
        <f t="shared" si="23"/>
        <v>348.50300000000004</v>
      </c>
      <c r="AM12" s="90">
        <f t="shared" si="24"/>
        <v>1193.182</v>
      </c>
      <c r="AN12" s="26">
        <f t="shared" si="25"/>
        <v>4.0400075752576008</v>
      </c>
      <c r="AO12" s="17">
        <f t="shared" si="49"/>
        <v>2.47161672270841</v>
      </c>
      <c r="AP12" s="90">
        <v>66.954999999999998</v>
      </c>
      <c r="AQ12" s="90">
        <v>246.25899999999999</v>
      </c>
      <c r="AR12" s="29">
        <f t="shared" si="7"/>
        <v>4.3400137405720258</v>
      </c>
      <c r="AS12" s="17">
        <f t="shared" si="8"/>
        <v>107.42564778749106</v>
      </c>
      <c r="AT12" s="17">
        <f>AP12/AP8*100</f>
        <v>2.5944310115006664</v>
      </c>
      <c r="AU12" s="90">
        <v>66.335999999999999</v>
      </c>
      <c r="AV12" s="90">
        <v>243.982</v>
      </c>
      <c r="AW12" s="29">
        <f t="shared" si="9"/>
        <v>4.3400078388808483</v>
      </c>
      <c r="AX12" s="17">
        <f t="shared" si="26"/>
        <v>99.999864016762842</v>
      </c>
      <c r="AY12" s="17">
        <f>AU12/AU8*100</f>
        <v>2.2743199599552928</v>
      </c>
      <c r="AZ12" s="90">
        <v>234.81</v>
      </c>
      <c r="BA12" s="90">
        <v>760.49599999999998</v>
      </c>
      <c r="BB12" s="29">
        <f t="shared" si="10"/>
        <v>3.8217506920488904</v>
      </c>
      <c r="BC12" s="17">
        <f t="shared" si="27"/>
        <v>88.058612655280371</v>
      </c>
      <c r="BD12" s="17">
        <f>AZ12/AZ8*100</f>
        <v>11.015043713506598</v>
      </c>
      <c r="BE12" s="90">
        <f t="shared" si="42"/>
        <v>716.60400000000004</v>
      </c>
      <c r="BF12" s="90">
        <f t="shared" si="42"/>
        <v>2443.9189999999999</v>
      </c>
      <c r="BG12" s="29">
        <f t="shared" si="12"/>
        <v>4.0242929428247676</v>
      </c>
      <c r="BH12" s="17">
        <f>BE12/BE8*100</f>
        <v>3.2978567962231793</v>
      </c>
      <c r="BI12" s="91">
        <v>1850.1699999999998</v>
      </c>
      <c r="BJ12" s="91">
        <v>5007.8320000000003</v>
      </c>
      <c r="BK12" s="29">
        <v>3.1938912424263717</v>
      </c>
      <c r="BL12" s="91">
        <v>8.8588125522532124</v>
      </c>
      <c r="BM12" s="17">
        <f t="shared" si="28"/>
        <v>38.731792213688479</v>
      </c>
      <c r="BN12" s="17">
        <f t="shared" si="29"/>
        <v>48.801936646437014</v>
      </c>
      <c r="BO12" s="17">
        <f t="shared" si="30"/>
        <v>125.99968619368352</v>
      </c>
      <c r="BP12" s="91">
        <v>304.56</v>
      </c>
      <c r="BQ12" s="91">
        <v>973.803</v>
      </c>
      <c r="BR12" s="29">
        <f t="shared" si="31"/>
        <v>3.7729430654058307</v>
      </c>
      <c r="BS12" s="91">
        <f t="shared" si="32"/>
        <v>98.722898729511485</v>
      </c>
      <c r="BT12" s="91">
        <f>BP12/BP8*100</f>
        <v>13.377127290903324</v>
      </c>
      <c r="BU12" s="91">
        <v>291.48399999999998</v>
      </c>
      <c r="BV12" s="91">
        <v>943.69299999999998</v>
      </c>
      <c r="BW12" s="29">
        <f t="shared" si="33"/>
        <v>3.8203048537827118</v>
      </c>
      <c r="BX12" s="91">
        <f t="shared" si="34"/>
        <v>94.931082504672972</v>
      </c>
      <c r="BY12" s="91">
        <f>BU12/BU8*100</f>
        <v>13.518098550724636</v>
      </c>
      <c r="BZ12" s="91">
        <v>374.70600000000002</v>
      </c>
      <c r="CA12" s="91">
        <v>1180.1559999999999</v>
      </c>
      <c r="CB12" s="29">
        <f t="shared" si="35"/>
        <v>3.7164712601346115</v>
      </c>
      <c r="CC12" s="91">
        <f t="shared" si="36"/>
        <v>97.282060002481515</v>
      </c>
      <c r="CD12" s="91">
        <f>BZ12/BZ8*100</f>
        <v>10.874565764385281</v>
      </c>
      <c r="CE12" s="91">
        <f t="shared" si="43"/>
        <v>970.75</v>
      </c>
      <c r="CF12" s="91">
        <f t="shared" si="44"/>
        <v>3097.652</v>
      </c>
      <c r="CG12" s="28">
        <f t="shared" si="39"/>
        <v>3.765366325006438</v>
      </c>
      <c r="CH12" s="92">
        <f>CE12/CE8*100</f>
        <v>12.321223270592723</v>
      </c>
      <c r="CJ12" s="34">
        <f t="shared" si="40"/>
        <v>1687.354</v>
      </c>
      <c r="CK12" s="34">
        <f t="shared" si="41"/>
        <v>5541.5709999999999</v>
      </c>
    </row>
    <row r="13" spans="1:89" ht="45.75" customHeight="1">
      <c r="B13" s="9" t="s">
        <v>6</v>
      </c>
      <c r="C13" s="90">
        <v>355.49799999999999</v>
      </c>
      <c r="D13" s="90">
        <v>1217.1289999999999</v>
      </c>
      <c r="E13" s="30">
        <f>(D13/C13)*1.18</f>
        <v>4.0400008438866042</v>
      </c>
      <c r="F13" s="17">
        <v>100.00000407684246</v>
      </c>
      <c r="G13" s="17">
        <f>C13/$C$8*100</f>
        <v>23.095068411810448</v>
      </c>
      <c r="H13" s="90">
        <v>416.66</v>
      </c>
      <c r="I13" s="90">
        <v>1426.5309999999999</v>
      </c>
      <c r="J13" s="30">
        <f>(I13/H13)*1.18</f>
        <v>4.0400004320069121</v>
      </c>
      <c r="K13" s="17">
        <f t="shared" si="13"/>
        <v>99.999989804960236</v>
      </c>
      <c r="L13" s="17">
        <f>H13/$H$8*100</f>
        <v>20.955231867483029</v>
      </c>
      <c r="M13" s="90">
        <v>353.608</v>
      </c>
      <c r="N13" s="90">
        <v>1210.6579999999999</v>
      </c>
      <c r="O13" s="30">
        <f>(N13/M13)*1.18</f>
        <v>4.0400003393588371</v>
      </c>
      <c r="P13" s="17">
        <f t="shared" si="14"/>
        <v>99.999997706731065</v>
      </c>
      <c r="Q13" s="17">
        <f>M13/$M$8*100</f>
        <v>16.36668695485146</v>
      </c>
      <c r="R13" s="90">
        <v>335.68400000000003</v>
      </c>
      <c r="S13" s="90">
        <v>1149.2909999999999</v>
      </c>
      <c r="T13" s="30">
        <f>(S13/R13)*1.18</f>
        <v>4.0400000595798424</v>
      </c>
      <c r="U13" s="17">
        <f t="shared" si="15"/>
        <v>99.999993074777933</v>
      </c>
      <c r="V13" s="17">
        <f t="shared" si="45"/>
        <v>20.547355740832671</v>
      </c>
      <c r="W13" s="90">
        <v>257.06900000000002</v>
      </c>
      <c r="X13" s="90">
        <v>880.13499999999999</v>
      </c>
      <c r="Y13" s="30">
        <f>(X13/W13)*1.18</f>
        <v>4.0400021006033393</v>
      </c>
      <c r="Z13" s="17">
        <f t="shared" si="17"/>
        <v>100.00005052038283</v>
      </c>
      <c r="AA13" s="17">
        <f t="shared" si="46"/>
        <v>14.038779227091394</v>
      </c>
      <c r="AB13" s="90">
        <v>221.77</v>
      </c>
      <c r="AC13" s="90">
        <v>759.28099999999995</v>
      </c>
      <c r="AD13" s="30">
        <f>(AC13/AB13)*1.18</f>
        <v>4.0400035171574151</v>
      </c>
      <c r="AE13" s="17">
        <f t="shared" si="19"/>
        <v>100.00003506320148</v>
      </c>
      <c r="AF13" s="17">
        <f t="shared" si="47"/>
        <v>12.31574557270133</v>
      </c>
      <c r="AG13" s="90">
        <v>1532.4549999999999</v>
      </c>
      <c r="AH13" s="90">
        <v>5246.7110000000002</v>
      </c>
      <c r="AI13" s="30">
        <f>(AH13/AG13)*1.18</f>
        <v>4.0400005089872133</v>
      </c>
      <c r="AJ13" s="17">
        <f t="shared" si="21"/>
        <v>99.999925540406366</v>
      </c>
      <c r="AK13" s="17">
        <f t="shared" si="48"/>
        <v>32.704317822317186</v>
      </c>
      <c r="AL13" s="90">
        <f t="shared" si="23"/>
        <v>3117.2460000000001</v>
      </c>
      <c r="AM13" s="90">
        <f t="shared" si="24"/>
        <v>10672.607</v>
      </c>
      <c r="AN13" s="26">
        <f t="shared" si="25"/>
        <v>4.0400007763262824</v>
      </c>
      <c r="AO13" s="17">
        <f t="shared" si="49"/>
        <v>22.107807801929678</v>
      </c>
      <c r="AP13" s="90">
        <v>238.804</v>
      </c>
      <c r="AQ13" s="90">
        <v>878.31399999999996</v>
      </c>
      <c r="AR13" s="30">
        <f>(AQ13/AP13)*1.18</f>
        <v>4.340004857540074</v>
      </c>
      <c r="AS13" s="17">
        <f t="shared" si="8"/>
        <v>107.42584927614449</v>
      </c>
      <c r="AT13" s="17">
        <f>AP13/AP8*100</f>
        <v>9.2533866517870997</v>
      </c>
      <c r="AU13" s="90">
        <v>234.74799999999999</v>
      </c>
      <c r="AV13" s="90">
        <v>863.39599999999996</v>
      </c>
      <c r="AW13" s="30">
        <f>(AV13/AU13)*1.18</f>
        <v>4.3400040894917096</v>
      </c>
      <c r="AX13" s="17">
        <f t="shared" si="26"/>
        <v>99.999982303052874</v>
      </c>
      <c r="AY13" s="17">
        <f>AU13/AU8*100</f>
        <v>8.0483004998731467</v>
      </c>
      <c r="AZ13" s="90">
        <v>232.916</v>
      </c>
      <c r="BA13" s="90">
        <v>856.65800000000002</v>
      </c>
      <c r="BB13" s="30">
        <f>(BA13/AZ13)*1.18</f>
        <v>4.3400042933933261</v>
      </c>
      <c r="BC13" s="17">
        <f t="shared" si="27"/>
        <v>100.0000046981895</v>
      </c>
      <c r="BD13" s="17">
        <f>AZ13/AZ8*100</f>
        <v>10.926195313551821</v>
      </c>
      <c r="BE13" s="90">
        <f t="shared" si="42"/>
        <v>3823.7140000000004</v>
      </c>
      <c r="BF13" s="90">
        <f t="shared" si="42"/>
        <v>13270.975</v>
      </c>
      <c r="BG13" s="30">
        <f>(BF13/BE13)*1.18</f>
        <v>4.095429339118982</v>
      </c>
      <c r="BH13" s="17">
        <f>BE13/BE8*100</f>
        <v>17.596972947002413</v>
      </c>
      <c r="BI13" s="91">
        <v>2660.04</v>
      </c>
      <c r="BJ13" s="91">
        <v>8545.9719999999998</v>
      </c>
      <c r="BK13" s="30">
        <v>3.7910132779958192</v>
      </c>
      <c r="BL13" s="91">
        <v>12.736557041512746</v>
      </c>
      <c r="BM13" s="17">
        <f t="shared" si="28"/>
        <v>143.74648501526295</v>
      </c>
      <c r="BN13" s="17">
        <f t="shared" si="29"/>
        <v>155.28924035791366</v>
      </c>
      <c r="BO13" s="17">
        <f t="shared" si="30"/>
        <v>108.02993919567851</v>
      </c>
      <c r="BP13" s="91">
        <v>292.43400000000003</v>
      </c>
      <c r="BQ13" s="91">
        <v>1075.5630000000001</v>
      </c>
      <c r="BR13" s="30">
        <f t="shared" si="31"/>
        <v>4.3400026672685117</v>
      </c>
      <c r="BS13" s="91">
        <f t="shared" si="32"/>
        <v>99.999962531723369</v>
      </c>
      <c r="BT13" s="91">
        <f>BP13/BP8*100</f>
        <v>12.844519445061803</v>
      </c>
      <c r="BU13" s="91">
        <v>370.79300000000001</v>
      </c>
      <c r="BV13" s="91">
        <v>1363.7639999999999</v>
      </c>
      <c r="BW13" s="30">
        <f t="shared" si="33"/>
        <v>4.3399997303077456</v>
      </c>
      <c r="BX13" s="91">
        <f t="shared" si="34"/>
        <v>105.97178881473208</v>
      </c>
      <c r="BY13" s="91">
        <f>BU13/BU8*100</f>
        <v>17.196197101449275</v>
      </c>
      <c r="BZ13" s="91">
        <v>439.62900000000002</v>
      </c>
      <c r="CA13" s="91">
        <v>1616.941</v>
      </c>
      <c r="CB13" s="30">
        <f t="shared" si="35"/>
        <v>4.3400011828155103</v>
      </c>
      <c r="CC13" s="91">
        <f t="shared" si="36"/>
        <v>100.00003346792292</v>
      </c>
      <c r="CD13" s="91">
        <f>BZ13/BZ8*100</f>
        <v>12.75873477454574</v>
      </c>
      <c r="CE13" s="91">
        <f t="shared" si="43"/>
        <v>1102.8560000000002</v>
      </c>
      <c r="CF13" s="91">
        <f t="shared" si="44"/>
        <v>4056.268</v>
      </c>
      <c r="CG13" s="28">
        <f t="shared" si="39"/>
        <v>4.3400010880840281</v>
      </c>
      <c r="CH13" s="92">
        <f>CE13/CE8*100</f>
        <v>13.997975803567151</v>
      </c>
      <c r="CJ13" s="34">
        <f t="shared" si="40"/>
        <v>4926.5700000000006</v>
      </c>
      <c r="CK13" s="34">
        <f t="shared" si="41"/>
        <v>17327.243000000002</v>
      </c>
    </row>
    <row r="14" spans="1:89" ht="97.5" customHeight="1">
      <c r="A14" s="5" t="s">
        <v>26</v>
      </c>
      <c r="B14" s="10" t="s">
        <v>7</v>
      </c>
      <c r="C14" s="38">
        <f>SUM(C4:C8)</f>
        <v>69913.95</v>
      </c>
      <c r="D14" s="38">
        <f>SUM(D4:D8)</f>
        <v>208483.80699999994</v>
      </c>
      <c r="E14" s="30">
        <f>(D14/C14)*1.18</f>
        <v>3.5187668878671561</v>
      </c>
      <c r="F14" s="17"/>
      <c r="G14" s="38">
        <f>SUM(G4:G8)</f>
        <v>100</v>
      </c>
      <c r="H14" s="38">
        <f>SUM(H4:H8)</f>
        <v>74542.676999999996</v>
      </c>
      <c r="I14" s="38">
        <f>SUM(I4:I8)</f>
        <v>222359.90800000002</v>
      </c>
      <c r="J14" s="38">
        <f>(I14/H14)*1.18</f>
        <v>3.5199257928448162</v>
      </c>
      <c r="K14" s="17">
        <f t="shared" si="13"/>
        <v>100.03293497451213</v>
      </c>
      <c r="L14" s="38">
        <f>SUM(L4:L8)</f>
        <v>100</v>
      </c>
      <c r="M14" s="38">
        <f>SUM(M4:M8)</f>
        <v>72987.835000000006</v>
      </c>
      <c r="N14" s="38">
        <f>SUM(N4:N8)</f>
        <v>217812.23400000005</v>
      </c>
      <c r="O14" s="38">
        <f>(N14/M14)*1.18</f>
        <v>3.5213873122829304</v>
      </c>
      <c r="P14" s="17">
        <f t="shared" si="14"/>
        <v>100.04152131391761</v>
      </c>
      <c r="Q14" s="38">
        <f>SUM(Q4:Q8)</f>
        <v>99.999999999999986</v>
      </c>
      <c r="R14" s="38">
        <f>SUM(R4:R8)</f>
        <v>68857.384000000005</v>
      </c>
      <c r="S14" s="38">
        <f>SUM(S4:S8)</f>
        <v>200295.212</v>
      </c>
      <c r="T14" s="38">
        <f>(S14/R14)*1.18</f>
        <v>3.4324328986997235</v>
      </c>
      <c r="U14" s="17">
        <f t="shared" si="15"/>
        <v>97.47388157863449</v>
      </c>
      <c r="V14" s="38">
        <f>SUM(V4:V8)</f>
        <v>100</v>
      </c>
      <c r="W14" s="38">
        <f>SUM(W4:W8)</f>
        <v>69444.010999999999</v>
      </c>
      <c r="X14" s="38">
        <f>SUM(X4:X8)</f>
        <v>209549.86600000001</v>
      </c>
      <c r="Y14" s="38">
        <f>(X14/W14)*1.18</f>
        <v>3.5606935474968462</v>
      </c>
      <c r="Z14" s="17">
        <f t="shared" si="17"/>
        <v>103.73672705577756</v>
      </c>
      <c r="AA14" s="25">
        <f>SUM(AA4:AA9)</f>
        <v>106.11544206189058</v>
      </c>
      <c r="AB14" s="38">
        <f>SUM(AB4:AB8)</f>
        <v>64852.911</v>
      </c>
      <c r="AC14" s="38">
        <f>SUM(AC4:AC8)</f>
        <v>197200.454</v>
      </c>
      <c r="AD14" s="38">
        <f>(AC14/AB14)*1.18</f>
        <v>3.5880661659119664</v>
      </c>
      <c r="AE14" s="17">
        <f t="shared" si="19"/>
        <v>100.76874401152448</v>
      </c>
      <c r="AF14" s="25">
        <f>SUM(AF4:AF8)</f>
        <v>100</v>
      </c>
      <c r="AG14" s="37">
        <f>SUM(AG4:AG8)</f>
        <v>71310.34</v>
      </c>
      <c r="AH14" s="38">
        <f>SUM(AH4:AH8)</f>
        <v>218593.40399999998</v>
      </c>
      <c r="AI14" s="38">
        <f>(AH14/AG14)*1.18</f>
        <v>3.6171502859192644</v>
      </c>
      <c r="AJ14" s="17">
        <f t="shared" si="21"/>
        <v>100.81057925529937</v>
      </c>
      <c r="AK14" s="25">
        <f>SUM(AK4:AK8)</f>
        <v>100</v>
      </c>
      <c r="AL14" s="38">
        <f>SUM(AL4:AL8)</f>
        <v>421995.15800000005</v>
      </c>
      <c r="AM14" s="38">
        <f>SUM(AM4:AM8)</f>
        <v>1265811.078</v>
      </c>
      <c r="AN14" s="26">
        <f t="shared" si="25"/>
        <v>3.5395123468217604</v>
      </c>
      <c r="AO14" s="25">
        <f>SUM(AO4:AO8)</f>
        <v>99.999999999999986</v>
      </c>
      <c r="AP14" s="38">
        <f>SUM(AP4:AP8)</f>
        <v>77915.888000000006</v>
      </c>
      <c r="AQ14" s="38">
        <f>SUM(AQ4:AQ8)</f>
        <v>255609.48200000002</v>
      </c>
      <c r="AR14" s="30">
        <f>(AQ14/AP14)*1.18</f>
        <v>3.8710870979228265</v>
      </c>
      <c r="AS14" s="17">
        <f t="shared" si="8"/>
        <v>107.02035558190876</v>
      </c>
      <c r="AT14" s="25">
        <f>SUM(AT4:AT8)</f>
        <v>99.999999999999972</v>
      </c>
      <c r="AU14" s="38">
        <f>SUM(AU4:AU8)</f>
        <v>82713.766000000003</v>
      </c>
      <c r="AV14" s="38">
        <f>SUM(AV4:AV8)</f>
        <v>271289.217</v>
      </c>
      <c r="AW14" s="30">
        <f>(AV14/AU14)*1.18</f>
        <v>3.870229727661052</v>
      </c>
      <c r="AX14" s="17">
        <f t="shared" si="26"/>
        <v>99.977851951142242</v>
      </c>
      <c r="AY14" s="25">
        <f>SUM(AY4:AY8)</f>
        <v>100</v>
      </c>
      <c r="AZ14" s="38">
        <f>SUM(AZ4:AZ8)</f>
        <v>78425.737999999998</v>
      </c>
      <c r="BA14" s="38">
        <f>SUM(BA4:BA8)</f>
        <v>256367.04000000004</v>
      </c>
      <c r="BB14" s="30">
        <f>(BA14/AZ14)*1.18</f>
        <v>3.8573192285420386</v>
      </c>
      <c r="BC14" s="17">
        <f t="shared" si="27"/>
        <v>99.666415173581541</v>
      </c>
      <c r="BD14" s="25">
        <f>SUM(BD4:BD8)</f>
        <v>100</v>
      </c>
      <c r="BE14" s="38">
        <f>SUM(BE4:BE8)</f>
        <v>661050.55000000005</v>
      </c>
      <c r="BF14" s="38">
        <f>SUM(BF4:BF8)</f>
        <v>2049076.817</v>
      </c>
      <c r="BG14" s="30">
        <f>(BF14/BE14)*1.18</f>
        <v>3.6576788931799538</v>
      </c>
      <c r="BH14" s="25">
        <f>SUM(BH4:BH8)</f>
        <v>99.999999999999986</v>
      </c>
      <c r="BI14" s="25">
        <v>677392.4166</v>
      </c>
      <c r="BJ14" s="25">
        <v>1968183.7049999998</v>
      </c>
      <c r="BK14" s="30">
        <v>3.4285249066663375</v>
      </c>
      <c r="BL14" s="25">
        <v>100</v>
      </c>
      <c r="BM14" s="17">
        <f t="shared" si="28"/>
        <v>97.587533282107913</v>
      </c>
      <c r="BN14" s="17">
        <f t="shared" si="29"/>
        <v>104.11003870190055</v>
      </c>
      <c r="BO14" s="17">
        <f t="shared" si="30"/>
        <v>106.68374863102366</v>
      </c>
      <c r="BP14" s="25">
        <f>SUM(BP4:BP8)</f>
        <v>73864.633999999991</v>
      </c>
      <c r="BQ14" s="25">
        <f>SUM(BQ4:BQ8)</f>
        <v>238865.27999999997</v>
      </c>
      <c r="BR14" s="30">
        <f t="shared" si="31"/>
        <v>3.8159131797769414</v>
      </c>
      <c r="BS14" s="25">
        <f t="shared" si="32"/>
        <v>98.926558930909451</v>
      </c>
      <c r="BT14" s="25">
        <f>SUM(BT4:BT8)</f>
        <v>100.00000000000001</v>
      </c>
      <c r="BU14" s="25">
        <f>SUM(BU4:BU8)</f>
        <v>72169.58</v>
      </c>
      <c r="BV14" s="38">
        <f>SUM(BV4:BV8)</f>
        <v>235456.12699999998</v>
      </c>
      <c r="BW14" s="30">
        <f t="shared" si="33"/>
        <v>3.8497969623766686</v>
      </c>
      <c r="BX14" s="25">
        <f t="shared" si="34"/>
        <v>105.25245858937851</v>
      </c>
      <c r="BY14" s="25">
        <f>SUM(BY4:BY8)</f>
        <v>100.00000000000001</v>
      </c>
      <c r="BZ14" s="25">
        <f>SUM(BZ4:BZ8)</f>
        <v>79516.02</v>
      </c>
      <c r="CA14" s="38">
        <f>SUM(CA4:CA8)</f>
        <v>255911.47899999999</v>
      </c>
      <c r="CB14" s="30">
        <f t="shared" si="35"/>
        <v>3.7976692648852386</v>
      </c>
      <c r="CC14" s="25">
        <f t="shared" si="36"/>
        <v>98.645962423450797</v>
      </c>
      <c r="CD14" s="25">
        <f>SUM(CD4:CD8)</f>
        <v>100</v>
      </c>
      <c r="CE14" s="25">
        <f>SUM(CE4:CE8)</f>
        <v>225550.234</v>
      </c>
      <c r="CF14" s="38">
        <f>SUM(CF4:CF8)</f>
        <v>730232.88600000006</v>
      </c>
      <c r="CG14" s="28">
        <f t="shared" si="39"/>
        <v>3.820323261025746</v>
      </c>
      <c r="CH14" s="25">
        <f>CH4+CH5+CH6+CH7+CH8</f>
        <v>100.00000000000001</v>
      </c>
      <c r="CJ14" s="75">
        <f t="shared" si="40"/>
        <v>886600.78399999999</v>
      </c>
      <c r="CK14" s="75">
        <f t="shared" si="41"/>
        <v>2779309.7030000002</v>
      </c>
    </row>
    <row r="15" spans="1:89" ht="112.5" customHeight="1">
      <c r="B15" s="35" t="s">
        <v>16</v>
      </c>
      <c r="G15" s="34"/>
      <c r="S15" s="99"/>
      <c r="T15" s="99"/>
      <c r="U15" s="99"/>
      <c r="V15" s="99"/>
      <c r="AU15" s="34">
        <f>AU9+AU10+AU11+AU12+AU13</f>
        <v>2916.74</v>
      </c>
      <c r="AV15" s="34">
        <f>AV9+AV10+AV11+AV12+AV13</f>
        <v>10727.674000000001</v>
      </c>
      <c r="BH15" s="34"/>
      <c r="BI15" s="34"/>
      <c r="BJ15" s="34"/>
      <c r="BK15" s="34"/>
      <c r="BL15" s="34"/>
      <c r="BR15" s="99"/>
      <c r="CE15" s="34"/>
      <c r="CF15" s="34"/>
    </row>
    <row r="16" spans="1:89" ht="28.5" customHeight="1">
      <c r="B16" s="35"/>
    </row>
    <row r="17" spans="2:2" ht="12" customHeight="1">
      <c r="B17" s="319"/>
    </row>
    <row r="18" spans="2:2" ht="21.75" customHeight="1">
      <c r="B18" s="320"/>
    </row>
    <row r="22" spans="2:2">
      <c r="B22" s="5"/>
    </row>
    <row r="23" spans="2:2">
      <c r="B23" s="5"/>
    </row>
    <row r="24" spans="2:2">
      <c r="B24" s="5"/>
    </row>
    <row r="25" spans="2:2">
      <c r="B25" s="5"/>
    </row>
    <row r="26" spans="2:2">
      <c r="B26" s="5"/>
    </row>
    <row r="27" spans="2:2">
      <c r="B27" s="5"/>
    </row>
    <row r="28" spans="2:2">
      <c r="B28" s="5"/>
    </row>
    <row r="29" spans="2:2">
      <c r="B29" s="5"/>
    </row>
    <row r="30" spans="2:2">
      <c r="B30" s="5"/>
    </row>
    <row r="31" spans="2:2">
      <c r="B31" s="5"/>
    </row>
    <row r="32" spans="2:2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</sheetData>
  <mergeCells count="20">
    <mergeCell ref="CE2:CH2"/>
    <mergeCell ref="B1:V1"/>
    <mergeCell ref="R2:V2"/>
    <mergeCell ref="AP2:AT2"/>
    <mergeCell ref="BE2:BH2"/>
    <mergeCell ref="BI2:BL2"/>
    <mergeCell ref="BZ2:CD2"/>
    <mergeCell ref="BP2:BT2"/>
    <mergeCell ref="BU2:BY2"/>
    <mergeCell ref="BM2:BO2"/>
    <mergeCell ref="AZ2:BD2"/>
    <mergeCell ref="AU2:AY2"/>
    <mergeCell ref="B17:B18"/>
    <mergeCell ref="H2:L2"/>
    <mergeCell ref="C2:G2"/>
    <mergeCell ref="M2:Q2"/>
    <mergeCell ref="AL2:AO2"/>
    <mergeCell ref="AG2:AK2"/>
    <mergeCell ref="AB2:AF2"/>
    <mergeCell ref="W2:AA2"/>
  </mergeCells>
  <pageMargins left="0.70866141732283472" right="0.51181102362204722" top="0.55118110236220474" bottom="0.55118110236220474" header="0.31496062992125984" footer="0.31496062992125984"/>
  <pageSetup paperSize="9" scale="58" fitToHeight="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4" sqref="P14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Y43"/>
  <sheetViews>
    <sheetView tabSelected="1" view="pageBreakPreview" topLeftCell="C1" zoomScale="40" zoomScaleNormal="40" zoomScaleSheetLayoutView="40" workbookViewId="0">
      <pane xSplit="2" topLeftCell="E1" activePane="topRight" state="frozen"/>
      <selection activeCell="C1" sqref="C1"/>
      <selection pane="topRight" activeCell="C22" sqref="C22:P22"/>
    </sheetView>
  </sheetViews>
  <sheetFormatPr defaultRowHeight="15.75"/>
  <cols>
    <col min="1" max="2" width="26.7109375" style="5" customWidth="1"/>
    <col min="3" max="3" width="55.85546875" style="6" customWidth="1"/>
    <col min="4" max="4" width="20.7109375" style="5" hidden="1" customWidth="1"/>
    <col min="5" max="5" width="0.42578125" style="5" customWidth="1"/>
    <col min="6" max="6" width="41.28515625" style="5" hidden="1" customWidth="1"/>
    <col min="7" max="7" width="23" style="5" hidden="1" customWidth="1"/>
    <col min="8" max="8" width="0.140625" style="5" hidden="1" customWidth="1"/>
    <col min="9" max="9" width="33.85546875" style="5" hidden="1" customWidth="1"/>
    <col min="10" max="10" width="21.85546875" style="5" customWidth="1"/>
    <col min="11" max="14" width="20.7109375" style="5" customWidth="1"/>
    <col min="15" max="15" width="25.42578125" style="5" customWidth="1"/>
    <col min="16" max="16" width="25.7109375" style="5" customWidth="1"/>
    <col min="17" max="17" width="23.28515625" style="5" customWidth="1"/>
    <col min="18" max="18" width="23" style="5" customWidth="1"/>
    <col min="19" max="19" width="20.7109375" style="5" customWidth="1"/>
    <col min="20" max="20" width="26.140625" style="5" customWidth="1"/>
    <col min="21" max="21" width="25.5703125" style="5" customWidth="1"/>
    <col min="22" max="22" width="23.5703125" style="5" customWidth="1"/>
    <col min="23" max="23" width="23" style="5" customWidth="1"/>
    <col min="24" max="24" width="20.7109375" style="5" customWidth="1"/>
    <col min="25" max="25" width="27.28515625" style="5" customWidth="1"/>
    <col min="26" max="26" width="28.140625" style="5" customWidth="1"/>
    <col min="27" max="27" width="24" style="5" customWidth="1"/>
    <col min="28" max="28" width="20.7109375" style="5" customWidth="1"/>
    <col min="29" max="29" width="28.5703125" style="5" customWidth="1"/>
    <col min="30" max="30" width="28.85546875" style="5" customWidth="1"/>
    <col min="31" max="31" width="23.28515625" style="5" customWidth="1"/>
    <col min="32" max="32" width="26.42578125" style="5" customWidth="1"/>
    <col min="33" max="33" width="20.7109375" style="5" customWidth="1"/>
    <col min="34" max="34" width="25.5703125" style="5" customWidth="1"/>
    <col min="35" max="35" width="27.140625" style="5" customWidth="1"/>
    <col min="36" max="36" width="24.140625" style="5" customWidth="1"/>
    <col min="37" max="37" width="24.42578125" style="5" customWidth="1"/>
    <col min="38" max="38" width="20.7109375" style="5" customWidth="1"/>
    <col min="39" max="39" width="23.5703125" style="5" customWidth="1"/>
    <col min="40" max="40" width="25.28515625" style="5" customWidth="1"/>
    <col min="41" max="41" width="23.85546875" style="5" customWidth="1"/>
    <col min="42" max="42" width="25.28515625" style="5" customWidth="1"/>
    <col min="43" max="43" width="20.7109375" style="5" customWidth="1"/>
    <col min="44" max="44" width="29.28515625" style="5" customWidth="1"/>
    <col min="45" max="45" width="25.7109375" style="5" customWidth="1"/>
    <col min="46" max="46" width="20.5703125" style="5" customWidth="1"/>
    <col min="47" max="47" width="20.7109375" style="5" customWidth="1"/>
    <col min="48" max="48" width="28.5703125" style="5" customWidth="1"/>
    <col min="49" max="49" width="31.28515625" style="5" customWidth="1"/>
    <col min="50" max="50" width="20.5703125" style="5" customWidth="1"/>
    <col min="51" max="52" width="20.7109375" style="5" customWidth="1"/>
    <col min="53" max="53" width="27.85546875" style="5" customWidth="1"/>
    <col min="54" max="54" width="26.42578125" style="5" customWidth="1"/>
    <col min="55" max="57" width="20.7109375" style="5" customWidth="1"/>
    <col min="58" max="58" width="29" style="5" customWidth="1"/>
    <col min="59" max="59" width="25.42578125" style="5" customWidth="1"/>
    <col min="60" max="62" width="20.7109375" style="5" customWidth="1"/>
    <col min="63" max="63" width="25" style="5" customWidth="1"/>
    <col min="64" max="64" width="27.5703125" style="5" customWidth="1"/>
    <col min="65" max="67" width="20.7109375" style="5" customWidth="1"/>
    <col min="68" max="68" width="31.42578125" style="5" customWidth="1"/>
    <col min="69" max="69" width="26.42578125" style="5" customWidth="1"/>
    <col min="70" max="72" width="20.7109375" style="5" customWidth="1"/>
    <col min="73" max="73" width="24" style="5" customWidth="1"/>
    <col min="74" max="74" width="28.5703125" style="5" customWidth="1"/>
    <col min="75" max="75" width="20.7109375" style="5" customWidth="1"/>
    <col min="76" max="76" width="24.7109375" style="5" customWidth="1"/>
    <col min="77" max="77" width="20.7109375" style="5" customWidth="1"/>
    <col min="78" max="78" width="25.42578125" style="5" customWidth="1"/>
    <col min="79" max="79" width="27.5703125" style="5" customWidth="1"/>
    <col min="80" max="82" width="20.7109375" style="5" customWidth="1"/>
    <col min="83" max="83" width="27.140625" style="5" customWidth="1"/>
    <col min="84" max="84" width="30" style="5" customWidth="1"/>
    <col min="85" max="87" width="20.7109375" style="5" customWidth="1"/>
    <col min="88" max="88" width="28.28515625" style="5" customWidth="1"/>
    <col min="89" max="89" width="27.5703125" style="5" customWidth="1"/>
    <col min="90" max="90" width="20.7109375" style="5" customWidth="1"/>
    <col min="91" max="91" width="0.28515625" style="5" customWidth="1"/>
    <col min="92" max="92" width="20.7109375" style="5" customWidth="1"/>
    <col min="93" max="93" width="29.5703125" style="5" customWidth="1"/>
    <col min="94" max="94" width="32.5703125" style="5" customWidth="1"/>
    <col min="95" max="95" width="20.5703125" style="5" customWidth="1"/>
    <col min="96" max="96" width="0.140625" style="5" customWidth="1"/>
    <col min="97" max="97" width="18.7109375" style="5" customWidth="1"/>
    <col min="98" max="98" width="29.140625" style="5" customWidth="1"/>
    <col min="99" max="99" width="29.85546875" style="5" customWidth="1"/>
    <col min="100" max="100" width="22" style="5" customWidth="1"/>
    <col min="101" max="101" width="0.28515625" style="5" customWidth="1"/>
    <col min="102" max="102" width="17.42578125" style="5" customWidth="1"/>
    <col min="103" max="16384" width="9.140625" style="5"/>
  </cols>
  <sheetData>
    <row r="1" spans="1:103" ht="50.1" customHeight="1">
      <c r="AW1" s="279"/>
      <c r="AX1" s="279"/>
      <c r="AY1" s="279"/>
      <c r="AZ1" s="279"/>
      <c r="BA1" s="279"/>
      <c r="BB1" s="279"/>
      <c r="BC1" s="279"/>
      <c r="BD1" s="279"/>
      <c r="BE1" s="279"/>
      <c r="BF1" s="279"/>
      <c r="BG1" s="279"/>
      <c r="BH1" s="279"/>
      <c r="BI1" s="279"/>
      <c r="BJ1" s="279"/>
      <c r="BK1" s="279"/>
      <c r="BL1" s="279"/>
      <c r="BM1" s="279"/>
      <c r="BN1" s="279"/>
      <c r="BO1" s="279"/>
      <c r="BP1" s="279"/>
      <c r="BQ1" s="279"/>
      <c r="BR1" s="279"/>
      <c r="BS1" s="279"/>
      <c r="BT1" s="279"/>
      <c r="CQ1" s="346" t="s">
        <v>100</v>
      </c>
      <c r="CR1" s="346"/>
      <c r="CS1" s="346"/>
      <c r="CT1" s="346"/>
    </row>
    <row r="2" spans="1:103" ht="50.1" customHeight="1" thickBot="1">
      <c r="B2" s="345" t="s">
        <v>137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5"/>
      <c r="AL2" s="345"/>
      <c r="AM2" s="345"/>
      <c r="AN2" s="345"/>
      <c r="AO2" s="345"/>
      <c r="AP2" s="345"/>
      <c r="AQ2" s="345"/>
      <c r="AR2" s="345"/>
      <c r="AS2" s="345"/>
      <c r="AT2" s="345"/>
      <c r="AU2" s="345"/>
      <c r="AV2" s="345"/>
      <c r="AW2" s="345"/>
      <c r="AX2" s="345"/>
      <c r="AY2" s="345"/>
      <c r="AZ2" s="345"/>
      <c r="BA2" s="253"/>
      <c r="BB2" s="253"/>
      <c r="BC2" s="253"/>
      <c r="BD2" s="253"/>
      <c r="BE2" s="253"/>
      <c r="BF2" s="253"/>
      <c r="BG2" s="253"/>
      <c r="BH2" s="253"/>
      <c r="BI2" s="253"/>
      <c r="BJ2" s="253"/>
      <c r="BK2" s="253"/>
      <c r="BL2" s="253"/>
      <c r="BM2" s="253"/>
      <c r="BN2" s="253"/>
      <c r="BO2" s="253"/>
      <c r="BP2" s="253"/>
      <c r="BQ2" s="253"/>
      <c r="BR2" s="253"/>
      <c r="BS2" s="253"/>
      <c r="BT2" s="253"/>
      <c r="BU2" s="253"/>
      <c r="BV2" s="253"/>
      <c r="BW2" s="253"/>
      <c r="BX2" s="253"/>
      <c r="BY2" s="253"/>
      <c r="BZ2" s="253"/>
      <c r="CA2" s="253"/>
      <c r="CB2" s="253"/>
      <c r="CC2" s="253"/>
      <c r="CD2" s="253"/>
      <c r="CE2" s="253"/>
      <c r="CF2" s="253"/>
      <c r="CG2" s="253"/>
      <c r="CH2" s="253"/>
      <c r="CI2" s="253"/>
      <c r="CJ2" s="253"/>
      <c r="CK2" s="253"/>
      <c r="CL2" s="253"/>
      <c r="CM2" s="253"/>
      <c r="CN2" s="253"/>
      <c r="CO2" s="253"/>
      <c r="CP2" s="253"/>
      <c r="CQ2" s="253"/>
      <c r="CR2" s="253"/>
      <c r="CS2" s="253"/>
    </row>
    <row r="3" spans="1:103" s="188" customFormat="1" ht="149.25" customHeight="1" thickBot="1">
      <c r="B3" s="347" t="s">
        <v>74</v>
      </c>
      <c r="C3" s="348" t="s">
        <v>8</v>
      </c>
      <c r="D3" s="329" t="s">
        <v>73</v>
      </c>
      <c r="E3" s="341"/>
      <c r="F3" s="330"/>
      <c r="G3" s="330"/>
      <c r="H3" s="330"/>
      <c r="I3" s="331"/>
      <c r="J3" s="338" t="s">
        <v>110</v>
      </c>
      <c r="K3" s="339"/>
      <c r="L3" s="339"/>
      <c r="M3" s="339"/>
      <c r="N3" s="340"/>
      <c r="O3" s="329" t="s">
        <v>111</v>
      </c>
      <c r="P3" s="330"/>
      <c r="Q3" s="330"/>
      <c r="R3" s="330"/>
      <c r="S3" s="331"/>
      <c r="T3" s="329" t="s">
        <v>112</v>
      </c>
      <c r="U3" s="330"/>
      <c r="V3" s="330"/>
      <c r="W3" s="330"/>
      <c r="X3" s="331"/>
      <c r="Y3" s="332" t="s">
        <v>113</v>
      </c>
      <c r="Z3" s="333"/>
      <c r="AA3" s="333"/>
      <c r="AB3" s="334"/>
      <c r="AC3" s="342" t="s">
        <v>114</v>
      </c>
      <c r="AD3" s="343"/>
      <c r="AE3" s="343"/>
      <c r="AF3" s="343"/>
      <c r="AG3" s="344"/>
      <c r="AH3" s="342" t="s">
        <v>115</v>
      </c>
      <c r="AI3" s="343"/>
      <c r="AJ3" s="343"/>
      <c r="AK3" s="343"/>
      <c r="AL3" s="344"/>
      <c r="AM3" s="342" t="s">
        <v>116</v>
      </c>
      <c r="AN3" s="343"/>
      <c r="AO3" s="343"/>
      <c r="AP3" s="343"/>
      <c r="AQ3" s="344"/>
      <c r="AR3" s="326" t="s">
        <v>117</v>
      </c>
      <c r="AS3" s="327"/>
      <c r="AT3" s="327"/>
      <c r="AU3" s="328"/>
      <c r="AV3" s="353" t="s">
        <v>118</v>
      </c>
      <c r="AW3" s="354"/>
      <c r="AX3" s="354"/>
      <c r="AY3" s="354"/>
      <c r="AZ3" s="355"/>
      <c r="BA3" s="352" t="s">
        <v>119</v>
      </c>
      <c r="BB3" s="350"/>
      <c r="BC3" s="350"/>
      <c r="BD3" s="350"/>
      <c r="BE3" s="351"/>
      <c r="BF3" s="349" t="s">
        <v>120</v>
      </c>
      <c r="BG3" s="350"/>
      <c r="BH3" s="350"/>
      <c r="BI3" s="350"/>
      <c r="BJ3" s="351"/>
      <c r="BK3" s="349" t="s">
        <v>121</v>
      </c>
      <c r="BL3" s="350"/>
      <c r="BM3" s="350"/>
      <c r="BN3" s="350"/>
      <c r="BO3" s="351"/>
      <c r="BP3" s="349" t="s">
        <v>122</v>
      </c>
      <c r="BQ3" s="350"/>
      <c r="BR3" s="350"/>
      <c r="BS3" s="350"/>
      <c r="BT3" s="351"/>
      <c r="BU3" s="349" t="s">
        <v>123</v>
      </c>
      <c r="BV3" s="350"/>
      <c r="BW3" s="350"/>
      <c r="BX3" s="350"/>
      <c r="BY3" s="351"/>
      <c r="BZ3" s="349" t="s">
        <v>124</v>
      </c>
      <c r="CA3" s="350"/>
      <c r="CB3" s="350"/>
      <c r="CC3" s="350"/>
      <c r="CD3" s="351"/>
      <c r="CE3" s="349" t="s">
        <v>125</v>
      </c>
      <c r="CF3" s="350"/>
      <c r="CG3" s="350"/>
      <c r="CH3" s="350"/>
      <c r="CI3" s="351"/>
      <c r="CJ3" s="349" t="s">
        <v>126</v>
      </c>
      <c r="CK3" s="350"/>
      <c r="CL3" s="350"/>
      <c r="CM3" s="350"/>
      <c r="CN3" s="351"/>
      <c r="CO3" s="335" t="s">
        <v>127</v>
      </c>
      <c r="CP3" s="336"/>
      <c r="CQ3" s="336"/>
      <c r="CR3" s="336"/>
      <c r="CS3" s="337"/>
      <c r="CT3" s="349" t="s">
        <v>128</v>
      </c>
      <c r="CU3" s="350"/>
      <c r="CV3" s="350"/>
      <c r="CW3" s="350"/>
      <c r="CX3" s="351"/>
    </row>
    <row r="4" spans="1:103" ht="161.25" customHeight="1" thickBot="1">
      <c r="B4" s="347"/>
      <c r="C4" s="348"/>
      <c r="D4" s="122" t="s">
        <v>91</v>
      </c>
      <c r="E4" s="130" t="s">
        <v>92</v>
      </c>
      <c r="F4" s="131" t="s">
        <v>96</v>
      </c>
      <c r="G4" s="131" t="s">
        <v>17</v>
      </c>
      <c r="H4" s="132" t="s">
        <v>51</v>
      </c>
      <c r="I4" s="133" t="s">
        <v>45</v>
      </c>
      <c r="J4" s="125" t="s">
        <v>92</v>
      </c>
      <c r="K4" s="126" t="s">
        <v>93</v>
      </c>
      <c r="L4" s="127" t="s">
        <v>17</v>
      </c>
      <c r="M4" s="123" t="s">
        <v>131</v>
      </c>
      <c r="N4" s="124" t="s">
        <v>45</v>
      </c>
      <c r="O4" s="128" t="s">
        <v>92</v>
      </c>
      <c r="P4" s="129" t="s">
        <v>93</v>
      </c>
      <c r="Q4" s="129" t="s">
        <v>17</v>
      </c>
      <c r="R4" s="129" t="s">
        <v>129</v>
      </c>
      <c r="S4" s="124" t="s">
        <v>45</v>
      </c>
      <c r="T4" s="128" t="s">
        <v>92</v>
      </c>
      <c r="U4" s="129" t="s">
        <v>93</v>
      </c>
      <c r="V4" s="129" t="s">
        <v>17</v>
      </c>
      <c r="W4" s="123" t="s">
        <v>129</v>
      </c>
      <c r="X4" s="124" t="s">
        <v>45</v>
      </c>
      <c r="Y4" s="128" t="s">
        <v>92</v>
      </c>
      <c r="Z4" s="129" t="s">
        <v>93</v>
      </c>
      <c r="AA4" s="129" t="s">
        <v>17</v>
      </c>
      <c r="AB4" s="124" t="s">
        <v>45</v>
      </c>
      <c r="AC4" s="130" t="s">
        <v>92</v>
      </c>
      <c r="AD4" s="131" t="s">
        <v>93</v>
      </c>
      <c r="AE4" s="131" t="s">
        <v>17</v>
      </c>
      <c r="AF4" s="132" t="s">
        <v>129</v>
      </c>
      <c r="AG4" s="133" t="s">
        <v>45</v>
      </c>
      <c r="AH4" s="130" t="s">
        <v>92</v>
      </c>
      <c r="AI4" s="131" t="s">
        <v>93</v>
      </c>
      <c r="AJ4" s="131" t="s">
        <v>17</v>
      </c>
      <c r="AK4" s="132" t="s">
        <v>129</v>
      </c>
      <c r="AL4" s="133" t="s">
        <v>45</v>
      </c>
      <c r="AM4" s="130" t="s">
        <v>92</v>
      </c>
      <c r="AN4" s="131" t="s">
        <v>93</v>
      </c>
      <c r="AO4" s="131" t="s">
        <v>17</v>
      </c>
      <c r="AP4" s="132" t="s">
        <v>129</v>
      </c>
      <c r="AQ4" s="133" t="s">
        <v>45</v>
      </c>
      <c r="AR4" s="130" t="s">
        <v>92</v>
      </c>
      <c r="AS4" s="131" t="s">
        <v>93</v>
      </c>
      <c r="AT4" s="131" t="s">
        <v>17</v>
      </c>
      <c r="AU4" s="144" t="s">
        <v>45</v>
      </c>
      <c r="AV4" s="130" t="s">
        <v>92</v>
      </c>
      <c r="AW4" s="131" t="s">
        <v>93</v>
      </c>
      <c r="AX4" s="131" t="s">
        <v>17</v>
      </c>
      <c r="AY4" s="132" t="s">
        <v>104</v>
      </c>
      <c r="AZ4" s="133" t="s">
        <v>45</v>
      </c>
      <c r="BA4" s="145" t="s">
        <v>92</v>
      </c>
      <c r="BB4" s="131" t="s">
        <v>93</v>
      </c>
      <c r="BC4" s="131" t="s">
        <v>17</v>
      </c>
      <c r="BD4" s="132" t="s">
        <v>129</v>
      </c>
      <c r="BE4" s="133" t="s">
        <v>45</v>
      </c>
      <c r="BF4" s="130" t="s">
        <v>92</v>
      </c>
      <c r="BG4" s="131" t="s">
        <v>96</v>
      </c>
      <c r="BH4" s="131" t="s">
        <v>17</v>
      </c>
      <c r="BI4" s="132" t="s">
        <v>129</v>
      </c>
      <c r="BJ4" s="133" t="s">
        <v>45</v>
      </c>
      <c r="BK4" s="130" t="s">
        <v>92</v>
      </c>
      <c r="BL4" s="131" t="s">
        <v>96</v>
      </c>
      <c r="BM4" s="131" t="s">
        <v>17</v>
      </c>
      <c r="BN4" s="132" t="s">
        <v>129</v>
      </c>
      <c r="BO4" s="133" t="s">
        <v>45</v>
      </c>
      <c r="BP4" s="130" t="s">
        <v>92</v>
      </c>
      <c r="BQ4" s="131" t="s">
        <v>96</v>
      </c>
      <c r="BR4" s="131" t="s">
        <v>17</v>
      </c>
      <c r="BS4" s="132" t="s">
        <v>104</v>
      </c>
      <c r="BT4" s="133" t="s">
        <v>45</v>
      </c>
      <c r="BU4" s="130" t="s">
        <v>92</v>
      </c>
      <c r="BV4" s="131" t="s">
        <v>96</v>
      </c>
      <c r="BW4" s="131" t="s">
        <v>17</v>
      </c>
      <c r="BX4" s="132" t="s">
        <v>129</v>
      </c>
      <c r="BY4" s="133" t="s">
        <v>45</v>
      </c>
      <c r="BZ4" s="130" t="s">
        <v>92</v>
      </c>
      <c r="CA4" s="131" t="s">
        <v>96</v>
      </c>
      <c r="CB4" s="131" t="s">
        <v>17</v>
      </c>
      <c r="CC4" s="132" t="s">
        <v>129</v>
      </c>
      <c r="CD4" s="133" t="s">
        <v>45</v>
      </c>
      <c r="CE4" s="130" t="s">
        <v>92</v>
      </c>
      <c r="CF4" s="131" t="s">
        <v>96</v>
      </c>
      <c r="CG4" s="131" t="s">
        <v>17</v>
      </c>
      <c r="CH4" s="132" t="s">
        <v>129</v>
      </c>
      <c r="CI4" s="133" t="s">
        <v>45</v>
      </c>
      <c r="CJ4" s="130" t="s">
        <v>92</v>
      </c>
      <c r="CK4" s="131" t="s">
        <v>96</v>
      </c>
      <c r="CL4" s="131" t="s">
        <v>17</v>
      </c>
      <c r="CM4" s="132" t="s">
        <v>104</v>
      </c>
      <c r="CN4" s="144" t="s">
        <v>45</v>
      </c>
      <c r="CO4" s="130" t="s">
        <v>92</v>
      </c>
      <c r="CP4" s="131" t="s">
        <v>96</v>
      </c>
      <c r="CQ4" s="131" t="s">
        <v>17</v>
      </c>
      <c r="CR4" s="132" t="s">
        <v>104</v>
      </c>
      <c r="CS4" s="131" t="s">
        <v>45</v>
      </c>
      <c r="CT4" s="145" t="s">
        <v>92</v>
      </c>
      <c r="CU4" s="131" t="s">
        <v>96</v>
      </c>
      <c r="CV4" s="131" t="s">
        <v>17</v>
      </c>
      <c r="CW4" s="132" t="s">
        <v>104</v>
      </c>
      <c r="CX4" s="133" t="s">
        <v>45</v>
      </c>
    </row>
    <row r="5" spans="1:103" ht="105.75" customHeight="1" thickBot="1">
      <c r="A5" s="5" t="s">
        <v>89</v>
      </c>
      <c r="B5" s="149" t="s">
        <v>75</v>
      </c>
      <c r="C5" s="242" t="s">
        <v>76</v>
      </c>
      <c r="D5" s="243">
        <f>SUM(D6:D9)</f>
        <v>76070.31</v>
      </c>
      <c r="E5" s="214">
        <f>SUM(E6:E9)</f>
        <v>79979.342000000004</v>
      </c>
      <c r="F5" s="214">
        <f>SUM(F6:F9)</f>
        <v>320516.24800000002</v>
      </c>
      <c r="G5" s="203">
        <f>F5/E5</f>
        <v>4.0074879335716469</v>
      </c>
      <c r="H5" s="204" t="e">
        <f>G5/#REF!*100</f>
        <v>#REF!</v>
      </c>
      <c r="I5" s="213">
        <f>E5/E17*100</f>
        <v>96.725310930351199</v>
      </c>
      <c r="J5" s="213">
        <f>SUM(J6:J9)</f>
        <v>77338.954999999987</v>
      </c>
      <c r="K5" s="205">
        <f>SUM(K6:K9)</f>
        <v>321956.74699999997</v>
      </c>
      <c r="L5" s="206">
        <f>K5/J5</f>
        <v>4.1629311774383302</v>
      </c>
      <c r="M5" s="244">
        <f>L5/G5*100</f>
        <v>103.87882001002421</v>
      </c>
      <c r="N5" s="245">
        <f>J5/J17*100</f>
        <v>88.264846370014638</v>
      </c>
      <c r="O5" s="246">
        <f>SUM(O6:O9)</f>
        <v>79711.551999999996</v>
      </c>
      <c r="P5" s="247">
        <f>SUM(P6:P9)</f>
        <v>330880.19000000006</v>
      </c>
      <c r="Q5" s="207">
        <f t="shared" ref="Q5:Q11" si="0">P5/O5</f>
        <v>4.1509691092202052</v>
      </c>
      <c r="R5" s="207">
        <f>Q5/L5*100</f>
        <v>99.712652750952131</v>
      </c>
      <c r="S5" s="248">
        <f>O5/O17*100</f>
        <v>96.969852682900779</v>
      </c>
      <c r="T5" s="246">
        <f>SUM(T6:T9)</f>
        <v>68972.418999999994</v>
      </c>
      <c r="U5" s="247">
        <f>SUM(U6:U9)</f>
        <v>286472.82799999998</v>
      </c>
      <c r="V5" s="207">
        <f>U5/T5</f>
        <v>4.1534403483804159</v>
      </c>
      <c r="W5" s="207">
        <f>V5/Q5*100</f>
        <v>100.05953402916734</v>
      </c>
      <c r="X5" s="248">
        <f>T5/T17*100</f>
        <v>97.036598889840064</v>
      </c>
      <c r="Y5" s="209">
        <f>(T5+O5+J5)</f>
        <v>226022.92599999998</v>
      </c>
      <c r="Z5" s="208">
        <f>(U5+P5+K5)</f>
        <v>939309.76500000001</v>
      </c>
      <c r="AA5" s="208">
        <f>Z5/Y5</f>
        <v>4.155816321924795</v>
      </c>
      <c r="AB5" s="210">
        <f>Y5/Y17*100</f>
        <v>93.823348380615315</v>
      </c>
      <c r="AC5" s="209">
        <f>SUM(AC6:AC9)</f>
        <v>71473.038</v>
      </c>
      <c r="AD5" s="208">
        <f>SUM(AD6:AD9)</f>
        <v>299301.484</v>
      </c>
      <c r="AE5" s="208">
        <f>AD5/AC5</f>
        <v>4.1876138523732545</v>
      </c>
      <c r="AF5" s="208">
        <f t="shared" ref="AF5:AF17" si="1">AE5/AA5*100</f>
        <v>100.76513320092386</v>
      </c>
      <c r="AG5" s="210">
        <f>AC5/AC17*100</f>
        <v>96.873462273700397</v>
      </c>
      <c r="AH5" s="209">
        <f>SUM(AH6:AH9)</f>
        <v>64598.47</v>
      </c>
      <c r="AI5" s="208">
        <f>SUM(AI6:AI9)</f>
        <v>272400.76</v>
      </c>
      <c r="AJ5" s="208">
        <f>AI5/AH5</f>
        <v>4.2168299032469347</v>
      </c>
      <c r="AK5" s="208">
        <f>AJ5/AE5*100</f>
        <v>100.69767776838169</v>
      </c>
      <c r="AL5" s="210">
        <f>AH5/AH17*100</f>
        <v>94.965866606843619</v>
      </c>
      <c r="AM5" s="209">
        <f>SUM(AM6:AM9)</f>
        <v>75239.296000000002</v>
      </c>
      <c r="AN5" s="208">
        <f>SUM(AN6:AN9)</f>
        <v>322626.74300000002</v>
      </c>
      <c r="AO5" s="208">
        <f>AN5/AM5</f>
        <v>4.2880085294790637</v>
      </c>
      <c r="AP5" s="208">
        <f>AO5/AJ5*100</f>
        <v>101.68796531672577</v>
      </c>
      <c r="AQ5" s="210">
        <f>AM5/AM17*100</f>
        <v>96.006234696071914</v>
      </c>
      <c r="AR5" s="209">
        <f t="shared" ref="AR5:AS9" si="2">AM5+AH5+AC5</f>
        <v>211310.804</v>
      </c>
      <c r="AS5" s="208">
        <f t="shared" si="2"/>
        <v>894328.98699999996</v>
      </c>
      <c r="AT5" s="208">
        <f>AS5/AR5</f>
        <v>4.2322918188319418</v>
      </c>
      <c r="AU5" s="250">
        <f>AR5/AR17*100</f>
        <v>95.975418250433691</v>
      </c>
      <c r="AV5" s="209">
        <f t="shared" ref="AV5:AV17" si="3">AR5+Y5</f>
        <v>437333.73</v>
      </c>
      <c r="AW5" s="208">
        <f t="shared" ref="AW5:AW17" si="4">AS5+Z5</f>
        <v>1833638.7519999999</v>
      </c>
      <c r="AX5" s="208">
        <f>AW5/AV5</f>
        <v>4.1927677336939002</v>
      </c>
      <c r="AY5" s="208"/>
      <c r="AZ5" s="210">
        <f>AV5/AV17*100</f>
        <v>94.851002595478946</v>
      </c>
      <c r="BA5" s="266">
        <f>SUM(BA6:BA9)</f>
        <v>79881.827999999994</v>
      </c>
      <c r="BB5" s="266">
        <f>SUM(BB6:BB9)</f>
        <v>342304.55900000001</v>
      </c>
      <c r="BC5" s="208">
        <f>BB5/BA5</f>
        <v>4.2851367772905755</v>
      </c>
      <c r="BD5" s="249">
        <f t="shared" ref="BD5:BD17" si="5">BC5/AO5*100</f>
        <v>99.933028300462894</v>
      </c>
      <c r="BE5" s="267">
        <f>BA5/BA17*100</f>
        <v>96.700296528280944</v>
      </c>
      <c r="BF5" s="209">
        <f>SUM(BF6:BF9)</f>
        <v>74589.523000000001</v>
      </c>
      <c r="BG5" s="208">
        <f>SUM(BG6:BG9)</f>
        <v>319949.74100000004</v>
      </c>
      <c r="BH5" s="208">
        <f>BG5/BF5</f>
        <v>4.2894729464887451</v>
      </c>
      <c r="BI5" s="249">
        <f>BH5/BC5*100</f>
        <v>100.10119091696559</v>
      </c>
      <c r="BJ5" s="274">
        <f>BF5/BF17*100</f>
        <v>97.217431375478526</v>
      </c>
      <c r="BK5" s="209">
        <f>SUM(BK6:BK9)</f>
        <v>66658.502000000008</v>
      </c>
      <c r="BL5" s="209">
        <f>SUM(BL6:BL9)</f>
        <v>284926.92200000002</v>
      </c>
      <c r="BM5" s="208">
        <f>BL5/BK5</f>
        <v>4.2744273191137721</v>
      </c>
      <c r="BN5" s="249">
        <f>BM5/BH5*100</f>
        <v>99.649242982467371</v>
      </c>
      <c r="BO5" s="210">
        <f>BK5/BK17*100</f>
        <v>98.288276941243723</v>
      </c>
      <c r="BP5" s="209">
        <f>SUM(BP6:BP9)</f>
        <v>221129.85300000003</v>
      </c>
      <c r="BQ5" s="209">
        <f>SUM(BQ6:BQ9)</f>
        <v>947181.22199999995</v>
      </c>
      <c r="BR5" s="208">
        <f>BQ5/BP5</f>
        <v>4.2833711014134295</v>
      </c>
      <c r="BS5" s="249"/>
      <c r="BT5" s="210">
        <f>BP5/BP17*100</f>
        <v>97.349082737530395</v>
      </c>
      <c r="BU5" s="214">
        <f>SUM(BU6:BU9)</f>
        <v>66424.430999999997</v>
      </c>
      <c r="BV5" s="214">
        <f>SUM(BV6:BV9)</f>
        <v>238202.52399999998</v>
      </c>
      <c r="BW5" s="211">
        <f>BV5/BU5</f>
        <v>3.5860679634576016</v>
      </c>
      <c r="BX5" s="212">
        <f>BW5/BM5*100</f>
        <v>83.89586945184297</v>
      </c>
      <c r="BY5" s="213">
        <f>BU5/BU17*100</f>
        <v>100.30722133916883</v>
      </c>
      <c r="BZ5" s="214">
        <f>SUM(BZ6:BZ9)</f>
        <v>69494.724000000002</v>
      </c>
      <c r="CA5" s="214">
        <f>SUM(CA6:CA9)</f>
        <v>287073.00399999996</v>
      </c>
      <c r="CB5" s="211">
        <f>CA5/BZ5</f>
        <v>4.1308604089139189</v>
      </c>
      <c r="CC5" s="212">
        <f>CB5/BW5*100</f>
        <v>115.19191635540118</v>
      </c>
      <c r="CD5" s="213">
        <f>BZ5/BZ17*100</f>
        <v>97.129435371540325</v>
      </c>
      <c r="CE5" s="214">
        <f>SUM(CE6:CE9)</f>
        <v>66706.637000000002</v>
      </c>
      <c r="CF5" s="214">
        <f>SUM(CF6:CF9)</f>
        <v>275884.766</v>
      </c>
      <c r="CG5" s="203">
        <f>CF5/CE5</f>
        <v>4.1357918553141868</v>
      </c>
      <c r="CH5" s="204">
        <f t="shared" ref="CH5:CH17" si="6">CG5/G5*100</f>
        <v>103.20160469274799</v>
      </c>
      <c r="CI5" s="213">
        <f>CE5/CE17*100</f>
        <v>98.208746168988554</v>
      </c>
      <c r="CJ5" s="214">
        <f>SUM(CJ6:CJ9)</f>
        <v>202625.79199999999</v>
      </c>
      <c r="CK5" s="214">
        <f>SUM(CK6:CK9)</f>
        <v>801160.29399999999</v>
      </c>
      <c r="CL5" s="211">
        <f>CK5/CJ5</f>
        <v>3.9538909933045447</v>
      </c>
      <c r="CM5" s="212"/>
      <c r="CN5" s="252">
        <f>CJ5/CJ17*100</f>
        <v>98.508902160606695</v>
      </c>
      <c r="CO5" s="214">
        <f>CJ5+BP5</f>
        <v>423755.64500000002</v>
      </c>
      <c r="CP5" s="211">
        <f>CK5+BQ5</f>
        <v>1748341.5159999998</v>
      </c>
      <c r="CQ5" s="211">
        <f>CP5/CO5</f>
        <v>4.1258247214618224</v>
      </c>
      <c r="CR5" s="211"/>
      <c r="CS5" s="211">
        <f>CO5/CO17*100</f>
        <v>97.900242998219383</v>
      </c>
      <c r="CT5" s="251">
        <f>SUM(CT6:CT9)</f>
        <v>861089.375</v>
      </c>
      <c r="CU5" s="214">
        <f>SUM(CU6:CU9)</f>
        <v>3581980.2680000002</v>
      </c>
      <c r="CV5" s="211">
        <f>CU5/CT5</f>
        <v>4.1598240229128365</v>
      </c>
      <c r="CW5" s="212"/>
      <c r="CX5" s="213">
        <f>CT5/CT17*100</f>
        <v>96.937311440967136</v>
      </c>
    </row>
    <row r="6" spans="1:103" ht="99.75" customHeight="1" thickBot="1">
      <c r="A6" s="5" t="s">
        <v>23</v>
      </c>
      <c r="B6" s="187" t="s">
        <v>77</v>
      </c>
      <c r="C6" s="150" t="s">
        <v>9</v>
      </c>
      <c r="D6" s="116">
        <f>24.823+66.352</f>
        <v>91.175000000000011</v>
      </c>
      <c r="E6" s="117">
        <f>61.731+41.392</f>
        <v>103.123</v>
      </c>
      <c r="F6" s="118">
        <f>198.7734+209.0299</f>
        <v>407.80330000000004</v>
      </c>
      <c r="G6" s="189">
        <f t="shared" ref="G6:G17" si="7">F6/E6</f>
        <v>3.9545329363963422</v>
      </c>
      <c r="H6" s="190" t="e">
        <f t="shared" ref="H6" si="8">G6/#REF!*100</f>
        <v>#REF!</v>
      </c>
      <c r="I6" s="191">
        <f>E6/E17*100</f>
        <v>0.12471475745662682</v>
      </c>
      <c r="J6" s="191">
        <f>10.867+39.354</f>
        <v>50.221000000000004</v>
      </c>
      <c r="K6" s="113">
        <f>36.905+213.457</f>
        <v>250.36199999999999</v>
      </c>
      <c r="L6" s="192">
        <f t="shared" ref="L6:L16" si="9">K6/J6</f>
        <v>4.9852053921666233</v>
      </c>
      <c r="M6" s="193">
        <f>L6/G6*100</f>
        <v>126.06306414303138</v>
      </c>
      <c r="N6" s="194">
        <f>J6/J17*100</f>
        <v>5.7315861709645623E-2</v>
      </c>
      <c r="O6" s="117">
        <f>30.832+104.705</f>
        <v>135.53700000000001</v>
      </c>
      <c r="P6" s="118">
        <f>104.705+296.302</f>
        <v>401.00700000000001</v>
      </c>
      <c r="Q6" s="195">
        <f t="shared" si="0"/>
        <v>2.958653356648</v>
      </c>
      <c r="R6" s="120">
        <f>(Q6/L6)*100</f>
        <v>59.348675207986524</v>
      </c>
      <c r="S6" s="191">
        <f>O6/O17*100</f>
        <v>0.16488203520466299</v>
      </c>
      <c r="T6" s="119">
        <f>14.872+40.794</f>
        <v>55.665999999999997</v>
      </c>
      <c r="U6" s="118">
        <f>50.505+221.267</f>
        <v>271.77199999999999</v>
      </c>
      <c r="V6" s="196">
        <f>(U6/T6)</f>
        <v>4.8821902058707289</v>
      </c>
      <c r="W6" s="118">
        <f t="shared" ref="W6:W17" si="10">V6/Q6*100</f>
        <v>165.01393091220379</v>
      </c>
      <c r="X6" s="191">
        <f>T6/T17*100</f>
        <v>7.8315932544019334E-2</v>
      </c>
      <c r="Y6" s="197">
        <f t="shared" ref="Y6:Y16" si="11">(T6+O6+J6)</f>
        <v>241.42400000000001</v>
      </c>
      <c r="Z6" s="196">
        <f>(U6+P6+K6)</f>
        <v>923.14099999999996</v>
      </c>
      <c r="AA6" s="196">
        <f>Z6/Y6</f>
        <v>3.8237333487971368</v>
      </c>
      <c r="AB6" s="198">
        <f>Y6/Y17*100</f>
        <v>0.10021641813203352</v>
      </c>
      <c r="AC6" s="117">
        <f>23.237+37.731</f>
        <v>60.968000000000004</v>
      </c>
      <c r="AD6" s="118">
        <f>78.913+204.653</f>
        <v>283.56599999999997</v>
      </c>
      <c r="AE6" s="196">
        <f t="shared" ref="AE6:AE17" si="12">AD6/AC6</f>
        <v>4.6510628526440092</v>
      </c>
      <c r="AF6" s="196">
        <f t="shared" si="1"/>
        <v>121.63669451760104</v>
      </c>
      <c r="AG6" s="191">
        <f>AC6/AC17*100</f>
        <v>8.2635094480004695E-2</v>
      </c>
      <c r="AH6" s="117">
        <f>16.221+23.335</f>
        <v>39.555999999999997</v>
      </c>
      <c r="AI6" s="118">
        <f>45.905+105.474</f>
        <v>151.37900000000002</v>
      </c>
      <c r="AJ6" s="196">
        <f t="shared" ref="AJ6:AJ17" si="13">AI6/AH6</f>
        <v>3.8269541915259389</v>
      </c>
      <c r="AK6" s="196">
        <f t="shared" ref="AK6:AK17" si="14">AJ6/AE6*100</f>
        <v>82.281283069533544</v>
      </c>
      <c r="AL6" s="191">
        <f>AH6/AH17*100</f>
        <v>5.8151064870426587E-2</v>
      </c>
      <c r="AM6" s="117">
        <f>8.19+82.609</f>
        <v>90.798999999999992</v>
      </c>
      <c r="AN6" s="118">
        <f>27.813+448.071</f>
        <v>475.88400000000001</v>
      </c>
      <c r="AO6" s="196">
        <f t="shared" ref="AO6:AO17" si="15">AN6/AM6</f>
        <v>5.2410709369045918</v>
      </c>
      <c r="AP6" s="196">
        <f t="shared" ref="AP6:AP17" si="16">AO6/AJ6*100</f>
        <v>136.95149391936661</v>
      </c>
      <c r="AQ6" s="191">
        <f>AM6/AM17*100</f>
        <v>0.11586060167506926</v>
      </c>
      <c r="AR6" s="197">
        <f t="shared" si="2"/>
        <v>191.32299999999998</v>
      </c>
      <c r="AS6" s="196">
        <f t="shared" si="2"/>
        <v>910.82899999999995</v>
      </c>
      <c r="AT6" s="196">
        <f t="shared" ref="AT6:AT17" si="17">AS6/AR6</f>
        <v>4.7606874238852628</v>
      </c>
      <c r="AU6" s="199">
        <f>AR6/AR17*100</f>
        <v>8.6897142021795173E-2</v>
      </c>
      <c r="AV6" s="197">
        <f t="shared" si="3"/>
        <v>432.74699999999996</v>
      </c>
      <c r="AW6" s="196">
        <f t="shared" si="4"/>
        <v>1833.9699999999998</v>
      </c>
      <c r="AX6" s="196">
        <f t="shared" ref="AX6:AX17" si="18">AW6/AV6</f>
        <v>4.2379727646869876</v>
      </c>
      <c r="AY6" s="118"/>
      <c r="AZ6" s="191">
        <f>AV6/AV17*100</f>
        <v>9.3856210954013808E-2</v>
      </c>
      <c r="BA6" s="146">
        <f>14.561+26.183</f>
        <v>40.744</v>
      </c>
      <c r="BB6" s="118">
        <f>51.895+144.53</f>
        <v>196.42500000000001</v>
      </c>
      <c r="BC6" s="196">
        <f t="shared" ref="BC6:BC17" si="19">BB6/BA6</f>
        <v>4.8209552326722953</v>
      </c>
      <c r="BD6" s="200">
        <f t="shared" si="5"/>
        <v>91.984162983292507</v>
      </c>
      <c r="BE6" s="191">
        <f>BA6/BA17*100</f>
        <v>4.9322317483123684E-2</v>
      </c>
      <c r="BF6" s="117">
        <f>18.311+50.638</f>
        <v>68.948999999999998</v>
      </c>
      <c r="BG6" s="118">
        <f>65.261+279.522</f>
        <v>344.78300000000002</v>
      </c>
      <c r="BH6" s="196">
        <f>BG6/BF6</f>
        <v>5.0005511319961133</v>
      </c>
      <c r="BI6" s="200">
        <f>BH6/BC6*100</f>
        <v>103.72531771518373</v>
      </c>
      <c r="BJ6" s="275">
        <f>BF6/BF17*100</f>
        <v>8.9865766749947812E-2</v>
      </c>
      <c r="BK6" s="117">
        <f>24.595+73.858</f>
        <v>98.453000000000003</v>
      </c>
      <c r="BL6" s="118">
        <f>87.656+406.189</f>
        <v>493.84500000000003</v>
      </c>
      <c r="BM6" s="196">
        <f>BL6/BK6</f>
        <v>5.016048266685627</v>
      </c>
      <c r="BN6" s="200">
        <f>BM6/BH6*100</f>
        <v>100.30990853368851</v>
      </c>
      <c r="BO6" s="191">
        <f>BK6/BK17*100</f>
        <v>0.14516941484367993</v>
      </c>
      <c r="BP6" s="117">
        <f>BA6+BF6+BK6</f>
        <v>208.14600000000002</v>
      </c>
      <c r="BQ6" s="117">
        <f>BB6+BG6+BL6</f>
        <v>1035.0530000000001</v>
      </c>
      <c r="BR6" s="196">
        <f t="shared" ref="BR6:BR17" si="20">BQ6/BP6</f>
        <v>4.9727258751068959</v>
      </c>
      <c r="BS6" s="118"/>
      <c r="BT6" s="191">
        <f>BP6/BP17*100</f>
        <v>9.163313727471252E-2</v>
      </c>
      <c r="BU6" s="117">
        <f>3.024+34.049</f>
        <v>37.073</v>
      </c>
      <c r="BV6" s="118">
        <f>10.778+187.95</f>
        <v>198.72799999999998</v>
      </c>
      <c r="BW6" s="196">
        <f t="shared" ref="BW6:BW17" si="21">BV6/BU6</f>
        <v>5.3604510020769824</v>
      </c>
      <c r="BX6" s="200">
        <f t="shared" ref="BX6:BX17" si="22">BW6/BM6*100</f>
        <v>106.86601717289537</v>
      </c>
      <c r="BY6" s="191">
        <f>BU6/BU17*100</f>
        <v>5.5983763213673696E-2</v>
      </c>
      <c r="BZ6" s="117">
        <f>12.378+37.608</f>
        <v>49.985999999999997</v>
      </c>
      <c r="CA6" s="118">
        <f>44.115+207.596</f>
        <v>251.71100000000001</v>
      </c>
      <c r="CB6" s="196">
        <f t="shared" ref="CB6:CB17" si="23">CA6/BZ6</f>
        <v>5.0356299763933903</v>
      </c>
      <c r="CC6" s="200">
        <f>CB6/BW6*100</f>
        <v>93.940416103836483</v>
      </c>
      <c r="CD6" s="191">
        <f>BZ6/BZ17*100</f>
        <v>6.9863029551449324E-2</v>
      </c>
      <c r="CE6" s="117">
        <v>33.944000000000003</v>
      </c>
      <c r="CF6" s="118">
        <v>187.37200000000001</v>
      </c>
      <c r="CG6" s="189">
        <f t="shared" ref="CG6:CG17" si="24">CF6/CE6</f>
        <v>5.520032995522036</v>
      </c>
      <c r="CH6" s="190">
        <f t="shared" si="6"/>
        <v>139.58748313150454</v>
      </c>
      <c r="CI6" s="191">
        <f>CE6/CE17*100</f>
        <v>4.997400303601196E-2</v>
      </c>
      <c r="CJ6" s="117">
        <f>BU6+BZ6+CE6</f>
        <v>121.003</v>
      </c>
      <c r="CK6" s="117">
        <f>BV6+CA6+CF6</f>
        <v>637.81099999999992</v>
      </c>
      <c r="CL6" s="196">
        <f>CK6/CJ6</f>
        <v>5.2710346024478723</v>
      </c>
      <c r="CM6" s="118"/>
      <c r="CN6" s="199">
        <f>CJ6/CJ17*100</f>
        <v>5.8827025772414464E-2</v>
      </c>
      <c r="CO6" s="197">
        <f t="shared" ref="CO6:CO17" si="25">CJ6+BP6</f>
        <v>329.149</v>
      </c>
      <c r="CP6" s="196">
        <f t="shared" ref="CP6:CP17" si="26">CK6+BQ6</f>
        <v>1672.864</v>
      </c>
      <c r="CQ6" s="196">
        <f t="shared" ref="CQ6:CQ17" si="27">CP6/CO6</f>
        <v>5.0823912574548302</v>
      </c>
      <c r="CR6" s="118"/>
      <c r="CS6" s="118">
        <f>CO6/CO17*100</f>
        <v>7.6043275087511603E-2</v>
      </c>
      <c r="CT6" s="146">
        <f t="shared" ref="CT6:CU9" si="28">Y6+AR6+BP6+CJ6</f>
        <v>761.89600000000007</v>
      </c>
      <c r="CU6" s="118">
        <f t="shared" si="28"/>
        <v>3506.8339999999998</v>
      </c>
      <c r="CV6" s="196">
        <f t="shared" ref="CV6:CV17" si="29">CU6/CT6</f>
        <v>4.6027725568844033</v>
      </c>
      <c r="CW6" s="118"/>
      <c r="CX6" s="191">
        <f>CT6/CT17*100</f>
        <v>8.5770597085380484E-2</v>
      </c>
      <c r="CY6" s="188"/>
    </row>
    <row r="7" spans="1:103" ht="163.5" customHeight="1" thickBot="1">
      <c r="A7" s="14" t="s">
        <v>24</v>
      </c>
      <c r="B7" s="150" t="s">
        <v>78</v>
      </c>
      <c r="C7" s="150" t="s">
        <v>21</v>
      </c>
      <c r="D7" s="112">
        <f>43117.582-D6</f>
        <v>43026.406999999999</v>
      </c>
      <c r="E7" s="117">
        <f>49294.86-E6</f>
        <v>49191.737000000001</v>
      </c>
      <c r="F7" s="118">
        <f>223246.429-F6</f>
        <v>222838.6257</v>
      </c>
      <c r="G7" s="189">
        <f t="shared" si="7"/>
        <v>4.5300011605607668</v>
      </c>
      <c r="H7" s="190" t="e">
        <f t="shared" ref="H7" si="30">G7/#REF!*100</f>
        <v>#REF!</v>
      </c>
      <c r="I7" s="191">
        <f>E7/E17*100</f>
        <v>59.49143788316065</v>
      </c>
      <c r="J7" s="191">
        <f>43117.056-J6</f>
        <v>43066.834999999999</v>
      </c>
      <c r="K7" s="113">
        <f>206971.166-K6</f>
        <v>206720.804</v>
      </c>
      <c r="L7" s="192">
        <f t="shared" si="9"/>
        <v>4.7999999071211059</v>
      </c>
      <c r="M7" s="193">
        <f>L7/G7*100</f>
        <v>105.96023570393338</v>
      </c>
      <c r="N7" s="194">
        <f>J7/J17*100</f>
        <v>49.151007728482625</v>
      </c>
      <c r="O7" s="117">
        <f>43790.678-O6</f>
        <v>43655.141000000003</v>
      </c>
      <c r="P7" s="118">
        <f>210186.053-P6</f>
        <v>209785.046</v>
      </c>
      <c r="Q7" s="195">
        <v>4.8</v>
      </c>
      <c r="R7" s="118">
        <f>(Q7/L7)*100</f>
        <v>100.00000193497701</v>
      </c>
      <c r="S7" s="191">
        <f>O7/O17*100</f>
        <v>53.106889596394538</v>
      </c>
      <c r="T7" s="117">
        <f>38000.645-T6</f>
        <v>37944.978999999999</v>
      </c>
      <c r="U7" s="118">
        <f>182407.667-U6</f>
        <v>182135.89499999999</v>
      </c>
      <c r="V7" s="196">
        <f t="shared" ref="V7:V17" si="31">(U7/T7)</f>
        <v>4.7999998893134181</v>
      </c>
      <c r="W7" s="118">
        <f t="shared" si="10"/>
        <v>99.999997694029545</v>
      </c>
      <c r="X7" s="191">
        <f>T7/T17*100</f>
        <v>53.384407281791944</v>
      </c>
      <c r="Y7" s="197">
        <f t="shared" si="11"/>
        <v>124666.95499999999</v>
      </c>
      <c r="Z7" s="196">
        <f t="shared" ref="Z7:Z9" si="32">(U7+P7+K7)</f>
        <v>598641.745</v>
      </c>
      <c r="AA7" s="196">
        <f t="shared" ref="AA7:AA17" si="33">Z7/Y7</f>
        <v>4.8019280249525629</v>
      </c>
      <c r="AB7" s="198">
        <f>Y7/Y17*100</f>
        <v>51.749932440550261</v>
      </c>
      <c r="AC7" s="117">
        <f>41084.137-AC6</f>
        <v>41023.169000000002</v>
      </c>
      <c r="AD7" s="118">
        <f>197194.777-AD6</f>
        <v>196911.21100000001</v>
      </c>
      <c r="AE7" s="196">
        <f t="shared" si="12"/>
        <v>4.7999999951247059</v>
      </c>
      <c r="AF7" s="196">
        <f t="shared" si="1"/>
        <v>99.959848839511167</v>
      </c>
      <c r="AG7" s="191">
        <f>AC7/AC17*100</f>
        <v>55.602175668944362</v>
      </c>
      <c r="AH7" s="117">
        <f>38443.136-AH6</f>
        <v>38403.58</v>
      </c>
      <c r="AI7" s="118">
        <f>184518.837-AI6</f>
        <v>184367.45800000001</v>
      </c>
      <c r="AJ7" s="196">
        <f t="shared" si="13"/>
        <v>4.8007883119230028</v>
      </c>
      <c r="AK7" s="196">
        <f t="shared" si="14"/>
        <v>100.01642326664786</v>
      </c>
      <c r="AL7" s="191">
        <f>AH7/AH17*100</f>
        <v>56.45689836779799</v>
      </c>
      <c r="AM7" s="117">
        <f>48460.183-AM6</f>
        <v>48369.383999999998</v>
      </c>
      <c r="AN7" s="118">
        <f>232648.921-AN6</f>
        <v>232173.03700000001</v>
      </c>
      <c r="AO7" s="196">
        <f t="shared" si="15"/>
        <v>4.799999871819745</v>
      </c>
      <c r="AP7" s="196">
        <f t="shared" si="16"/>
        <v>99.983576861714567</v>
      </c>
      <c r="AQ7" s="191">
        <f>AM7/AM17*100</f>
        <v>61.719908070490526</v>
      </c>
      <c r="AR7" s="197">
        <f t="shared" si="2"/>
        <v>127796.133</v>
      </c>
      <c r="AS7" s="196">
        <f t="shared" si="2"/>
        <v>613451.70600000001</v>
      </c>
      <c r="AT7" s="196">
        <f t="shared" si="17"/>
        <v>4.8002368428471929</v>
      </c>
      <c r="AU7" s="199">
        <f>AR7/AR17*100</f>
        <v>58.043824940740137</v>
      </c>
      <c r="AV7" s="197">
        <f t="shared" si="3"/>
        <v>252463.08799999999</v>
      </c>
      <c r="AW7" s="196">
        <f t="shared" si="4"/>
        <v>1212093.4509999999</v>
      </c>
      <c r="AX7" s="196">
        <f t="shared" si="18"/>
        <v>4.8010719531403341</v>
      </c>
      <c r="AY7" s="196"/>
      <c r="AZ7" s="198">
        <f>AV7/AV17*100</f>
        <v>54.755385584255365</v>
      </c>
      <c r="BA7" s="201">
        <f>49314.456-BA6</f>
        <v>49273.712</v>
      </c>
      <c r="BB7" s="202">
        <f>238681.167-BB6</f>
        <v>238484.742</v>
      </c>
      <c r="BC7" s="196">
        <f t="shared" si="19"/>
        <v>4.8399995113012793</v>
      </c>
      <c r="BD7" s="200">
        <f t="shared" si="5"/>
        <v>100.83332584478528</v>
      </c>
      <c r="BE7" s="191">
        <f>BA7/BA17*100</f>
        <v>59.647890900157122</v>
      </c>
      <c r="BF7" s="117">
        <f>46262.214-BF6</f>
        <v>46193.264999999999</v>
      </c>
      <c r="BG7" s="118">
        <f>223920.165-BG6</f>
        <v>223575.38200000001</v>
      </c>
      <c r="BH7" s="196">
        <f t="shared" ref="BH7:BH17" si="34">BG7/BF7</f>
        <v>4.8399995540475436</v>
      </c>
      <c r="BI7" s="200">
        <f t="shared" ref="BI7:BI17" si="35">BH7/BC7*100</f>
        <v>100.00000088318737</v>
      </c>
      <c r="BJ7" s="275">
        <f>BF7/BF17*100</f>
        <v>60.206720589254793</v>
      </c>
      <c r="BK7" s="117">
        <f>42197.774-BK6</f>
        <v>42099.320999999996</v>
      </c>
      <c r="BL7" s="118">
        <f>203743.63-BL6</f>
        <v>203249.785</v>
      </c>
      <c r="BM7" s="196">
        <f t="shared" ref="BM7:BM17" si="36">BL7/BK7</f>
        <v>4.8278637320540163</v>
      </c>
      <c r="BN7" s="200">
        <f t="shared" ref="BN7:BN17" si="37">BM7/BH7*100</f>
        <v>99.749259853063862</v>
      </c>
      <c r="BO7" s="198">
        <f>BK7/BK17*100</f>
        <v>62.075648226933097</v>
      </c>
      <c r="BP7" s="117">
        <f>BA7+BF7+BK7</f>
        <v>137566.29800000001</v>
      </c>
      <c r="BQ7" s="117">
        <f t="shared" ref="BQ7:BQ9" si="38">BB7+BG7+BL7</f>
        <v>665309.90899999999</v>
      </c>
      <c r="BR7" s="196">
        <f t="shared" si="20"/>
        <v>4.8362856213518226</v>
      </c>
      <c r="BS7" s="118"/>
      <c r="BT7" s="191">
        <f>BP7/BP17*100</f>
        <v>60.561487941195168</v>
      </c>
      <c r="BU7" s="117">
        <f>40197.189-BU6</f>
        <v>40160.116000000002</v>
      </c>
      <c r="BV7" s="118">
        <f>168171.419-BV6</f>
        <v>167972.69099999999</v>
      </c>
      <c r="BW7" s="196">
        <f t="shared" si="21"/>
        <v>4.1825748461483521</v>
      </c>
      <c r="BX7" s="200">
        <f t="shared" si="22"/>
        <v>86.634070021045815</v>
      </c>
      <c r="BY7" s="191">
        <f>BU7/BU17*100</f>
        <v>60.645602588883243</v>
      </c>
      <c r="BZ7" s="117">
        <f>39820.645-BZ6</f>
        <v>39770.659</v>
      </c>
      <c r="CA7" s="118">
        <f>189102.729-CA6</f>
        <v>188851.01799999998</v>
      </c>
      <c r="CB7" s="196">
        <f t="shared" si="23"/>
        <v>4.7485010997680472</v>
      </c>
      <c r="CC7" s="200">
        <f>CB7/BW7*100</f>
        <v>113.53057086691096</v>
      </c>
      <c r="CD7" s="191">
        <f>BZ7/BZ17*100</f>
        <v>55.585538450718488</v>
      </c>
      <c r="CE7" s="117">
        <f>36480.956</f>
        <v>36480.955999999998</v>
      </c>
      <c r="CF7" s="118">
        <v>173347.405</v>
      </c>
      <c r="CG7" s="189">
        <f t="shared" si="24"/>
        <v>4.7517232004556025</v>
      </c>
      <c r="CH7" s="190">
        <f t="shared" si="6"/>
        <v>104.89452501304413</v>
      </c>
      <c r="CI7" s="191">
        <f>CE7/CE17*100</f>
        <v>53.709032697991354</v>
      </c>
      <c r="CJ7" s="117">
        <f t="shared" ref="CJ7:CJ8" si="39">BU7+BZ7+CE7</f>
        <v>116411.731</v>
      </c>
      <c r="CK7" s="117">
        <f t="shared" ref="CK7:CK9" si="40">BV7+CA7+CF7</f>
        <v>530171.11399999994</v>
      </c>
      <c r="CL7" s="196">
        <f>CK7/CJ7</f>
        <v>4.5542756683173105</v>
      </c>
      <c r="CM7" s="118"/>
      <c r="CN7" s="199">
        <f>CJ7/CJ17*100</f>
        <v>56.594926569989013</v>
      </c>
      <c r="CO7" s="197">
        <f t="shared" si="25"/>
        <v>253978.02900000001</v>
      </c>
      <c r="CP7" s="196">
        <f t="shared" si="26"/>
        <v>1195481.023</v>
      </c>
      <c r="CQ7" s="196">
        <f t="shared" si="27"/>
        <v>4.7070253584809105</v>
      </c>
      <c r="CR7" s="118"/>
      <c r="CS7" s="118">
        <f>CO7/CO17*100</f>
        <v>58.676529855569967</v>
      </c>
      <c r="CT7" s="146">
        <f t="shared" si="28"/>
        <v>506441.11699999997</v>
      </c>
      <c r="CU7" s="118">
        <f t="shared" si="28"/>
        <v>2407574.4739999999</v>
      </c>
      <c r="CV7" s="196">
        <f t="shared" si="29"/>
        <v>4.7539079928219969</v>
      </c>
      <c r="CW7" s="118"/>
      <c r="CX7" s="191">
        <f>CT7/CT17*100</f>
        <v>57.012711700385651</v>
      </c>
      <c r="CY7" s="188"/>
    </row>
    <row r="8" spans="1:103" ht="169.5" customHeight="1" thickBot="1">
      <c r="A8" s="14" t="s">
        <v>25</v>
      </c>
      <c r="B8" s="150" t="s">
        <v>79</v>
      </c>
      <c r="C8" s="150" t="s">
        <v>1</v>
      </c>
      <c r="D8" s="112">
        <v>2594.0149999999999</v>
      </c>
      <c r="E8" s="117">
        <v>3224.125</v>
      </c>
      <c r="F8" s="118">
        <v>10220.4768</v>
      </c>
      <c r="G8" s="189">
        <f t="shared" si="7"/>
        <v>3.1700001705889198</v>
      </c>
      <c r="H8" s="190" t="e">
        <f t="shared" ref="H8" si="41">G8/#REF!*100</f>
        <v>#REF!</v>
      </c>
      <c r="I8" s="191">
        <f>E8/E17*100</f>
        <v>3.8991880316209468</v>
      </c>
      <c r="J8" s="191">
        <v>5327.2380000000003</v>
      </c>
      <c r="K8" s="113">
        <v>17899.52</v>
      </c>
      <c r="L8" s="192">
        <f t="shared" si="9"/>
        <v>3.3600000600686508</v>
      </c>
      <c r="M8" s="193">
        <f t="shared" ref="M8:M14" si="42">L8/G8*100</f>
        <v>105.9936870427497</v>
      </c>
      <c r="N8" s="194">
        <f>J8/J17*100</f>
        <v>6.0798318731679801</v>
      </c>
      <c r="O8" s="117">
        <v>4033.4090000000001</v>
      </c>
      <c r="P8" s="118">
        <v>13552.254000000001</v>
      </c>
      <c r="Q8" s="195">
        <f>P8/O8</f>
        <v>3.359999940496984</v>
      </c>
      <c r="R8" s="118">
        <f t="shared" ref="R8:R17" si="43">(Q8/L8)*100</f>
        <v>99.99999644131951</v>
      </c>
      <c r="S8" s="191">
        <f>O8/O17*100</f>
        <v>4.9066799820920082</v>
      </c>
      <c r="T8" s="117">
        <v>3759.3539999999998</v>
      </c>
      <c r="U8" s="118">
        <v>12631.43</v>
      </c>
      <c r="V8" s="196">
        <f t="shared" si="31"/>
        <v>3.3600001489617632</v>
      </c>
      <c r="W8" s="118">
        <f t="shared" si="10"/>
        <v>100.00000620430902</v>
      </c>
      <c r="X8" s="191">
        <f>T8/T17*100</f>
        <v>5.2889971306199346</v>
      </c>
      <c r="Y8" s="197">
        <f t="shared" si="11"/>
        <v>13120.001</v>
      </c>
      <c r="Z8" s="196">
        <f t="shared" si="32"/>
        <v>44083.203999999998</v>
      </c>
      <c r="AA8" s="196">
        <f t="shared" si="33"/>
        <v>3.360000048780484</v>
      </c>
      <c r="AB8" s="198">
        <f>Y8/Y17*100</f>
        <v>5.4461839175421582</v>
      </c>
      <c r="AC8" s="117">
        <v>3709.3679999999999</v>
      </c>
      <c r="AD8" s="118">
        <v>12463.476000000001</v>
      </c>
      <c r="AE8" s="196">
        <f t="shared" si="12"/>
        <v>3.3599998705979024</v>
      </c>
      <c r="AF8" s="196">
        <f t="shared" si="1"/>
        <v>99.999994696947056</v>
      </c>
      <c r="AG8" s="191">
        <f>AC8/AC17*100</f>
        <v>5.0276206393699328</v>
      </c>
      <c r="AH8" s="117">
        <v>3255.51</v>
      </c>
      <c r="AI8" s="118">
        <v>10938.513999999999</v>
      </c>
      <c r="AJ8" s="196">
        <f t="shared" si="13"/>
        <v>3.3600001228686129</v>
      </c>
      <c r="AK8" s="196">
        <f t="shared" si="14"/>
        <v>100.00000750805715</v>
      </c>
      <c r="AL8" s="191">
        <f>AH8/AH17*100</f>
        <v>4.7859079076833471</v>
      </c>
      <c r="AM8" s="117">
        <v>4139.3019999999997</v>
      </c>
      <c r="AN8" s="118">
        <v>13908.115</v>
      </c>
      <c r="AO8" s="196">
        <f t="shared" si="15"/>
        <v>3.3600145628417546</v>
      </c>
      <c r="AP8" s="196">
        <f t="shared" si="16"/>
        <v>100.00042976108969</v>
      </c>
      <c r="AQ8" s="191">
        <f>AM8/AM17*100</f>
        <v>5.2817984805429301</v>
      </c>
      <c r="AR8" s="197">
        <f t="shared" si="2"/>
        <v>11104.18</v>
      </c>
      <c r="AS8" s="196">
        <f t="shared" si="2"/>
        <v>37310.105000000003</v>
      </c>
      <c r="AT8" s="196">
        <f t="shared" si="17"/>
        <v>3.360005421381858</v>
      </c>
      <c r="AU8" s="199">
        <f>AR8/AR17*100</f>
        <v>5.0434161417894225</v>
      </c>
      <c r="AV8" s="197">
        <f t="shared" si="3"/>
        <v>24224.181</v>
      </c>
      <c r="AW8" s="196">
        <f t="shared" si="4"/>
        <v>81393.309000000008</v>
      </c>
      <c r="AX8" s="196">
        <f t="shared" si="18"/>
        <v>3.3600025115400189</v>
      </c>
      <c r="AY8" s="118"/>
      <c r="AZ8" s="191">
        <f>AV8/AV17*100</f>
        <v>5.2538546590137276</v>
      </c>
      <c r="BA8" s="146">
        <v>4115.04</v>
      </c>
      <c r="BB8" s="118">
        <v>13949.986000000001</v>
      </c>
      <c r="BC8" s="196">
        <f t="shared" si="19"/>
        <v>3.3900000972044015</v>
      </c>
      <c r="BD8" s="200">
        <f t="shared" si="5"/>
        <v>100.89242275001588</v>
      </c>
      <c r="BE8" s="191">
        <f>BA8/BA17*100</f>
        <v>4.981428169442208</v>
      </c>
      <c r="BF8" s="117">
        <v>3937.2159999999999</v>
      </c>
      <c r="BG8" s="118">
        <v>13347.163</v>
      </c>
      <c r="BH8" s="196">
        <f t="shared" si="34"/>
        <v>3.3900001930297958</v>
      </c>
      <c r="BI8" s="200">
        <f t="shared" si="35"/>
        <v>100.00000282670771</v>
      </c>
      <c r="BJ8" s="275">
        <f>BF8/BF17*100</f>
        <v>5.131632579155065</v>
      </c>
      <c r="BK8" s="117">
        <v>3693.203</v>
      </c>
      <c r="BL8" s="118">
        <v>12519.959000000001</v>
      </c>
      <c r="BM8" s="196">
        <f>BL8/BK8</f>
        <v>3.390000224737173</v>
      </c>
      <c r="BN8" s="200">
        <f t="shared" si="37"/>
        <v>100.0000009353208</v>
      </c>
      <c r="BO8" s="198">
        <f>BK8/BK17*100</f>
        <v>5.4456453171454724</v>
      </c>
      <c r="BP8" s="117">
        <f t="shared" ref="BP8:BP9" si="44">BA8+BF8+BK8</f>
        <v>11745.458999999999</v>
      </c>
      <c r="BQ8" s="117">
        <f t="shared" si="38"/>
        <v>39817.108</v>
      </c>
      <c r="BR8" s="196">
        <f t="shared" si="20"/>
        <v>3.3900001694271809</v>
      </c>
      <c r="BS8" s="118"/>
      <c r="BT8" s="191">
        <f>BP8/BP17*100</f>
        <v>5.1707611815817147</v>
      </c>
      <c r="BU8" s="117">
        <v>3342.98</v>
      </c>
      <c r="BV8" s="118">
        <v>11332.701999999999</v>
      </c>
      <c r="BW8" s="196">
        <f t="shared" si="21"/>
        <v>3.3899999401731389</v>
      </c>
      <c r="BX8" s="200">
        <f t="shared" si="22"/>
        <v>99.999991605781261</v>
      </c>
      <c r="BY8" s="191">
        <f>BU8/BU17*100</f>
        <v>5.0482184001307395</v>
      </c>
      <c r="BZ8" s="117">
        <v>4039.538</v>
      </c>
      <c r="CA8" s="118">
        <v>13694.034</v>
      </c>
      <c r="CB8" s="196">
        <f t="shared" si="23"/>
        <v>3.3900000445595508</v>
      </c>
      <c r="CC8" s="200">
        <f t="shared" ref="CC8:CC17" si="45">CB8/BW8*100</f>
        <v>100.00000307924523</v>
      </c>
      <c r="CD8" s="191">
        <f>BZ8/BZ17*100</f>
        <v>5.6458680964310508</v>
      </c>
      <c r="CE8" s="117">
        <v>4228.2299999999996</v>
      </c>
      <c r="CF8" s="118">
        <v>14333.7</v>
      </c>
      <c r="CG8" s="189">
        <f t="shared" si="24"/>
        <v>3.3900000709516753</v>
      </c>
      <c r="CH8" s="190">
        <f t="shared" si="6"/>
        <v>106.94005957488275</v>
      </c>
      <c r="CI8" s="191">
        <f>CE8/CE17*100</f>
        <v>6.225005269177375</v>
      </c>
      <c r="CJ8" s="117">
        <f t="shared" si="39"/>
        <v>11610.748</v>
      </c>
      <c r="CK8" s="117">
        <f t="shared" si="40"/>
        <v>39360.436000000002</v>
      </c>
      <c r="CL8" s="196">
        <f t="shared" ref="CL8:CL17" si="46">CK8/CJ8</f>
        <v>3.390000024115587</v>
      </c>
      <c r="CM8" s="118"/>
      <c r="CN8" s="199">
        <f>CJ8/CJ17*100</f>
        <v>5.644701138261115</v>
      </c>
      <c r="CO8" s="197">
        <f t="shared" si="25"/>
        <v>23356.206999999999</v>
      </c>
      <c r="CP8" s="196">
        <f t="shared" si="26"/>
        <v>79177.543999999994</v>
      </c>
      <c r="CQ8" s="196">
        <f t="shared" si="27"/>
        <v>3.3900000971904385</v>
      </c>
      <c r="CR8" s="118"/>
      <c r="CS8" s="118">
        <f>CO8/CO17*100</f>
        <v>5.3959831988001294</v>
      </c>
      <c r="CT8" s="146">
        <f t="shared" si="28"/>
        <v>47580.387999999999</v>
      </c>
      <c r="CU8" s="118">
        <f t="shared" si="28"/>
        <v>160570.853</v>
      </c>
      <c r="CV8" s="196">
        <f t="shared" si="29"/>
        <v>3.3747276924265521</v>
      </c>
      <c r="CW8" s="118"/>
      <c r="CX8" s="191">
        <f>CT8/CT17*100</f>
        <v>5.3563718516885146</v>
      </c>
      <c r="CY8" s="188"/>
    </row>
    <row r="9" spans="1:103" ht="74.25" customHeight="1" thickBot="1">
      <c r="B9" s="187" t="s">
        <v>80</v>
      </c>
      <c r="C9" s="150" t="s">
        <v>2</v>
      </c>
      <c r="D9" s="112">
        <v>30358.713</v>
      </c>
      <c r="E9" s="117">
        <v>27460.357</v>
      </c>
      <c r="F9" s="118">
        <v>87049.342199999999</v>
      </c>
      <c r="G9" s="189">
        <f t="shared" si="7"/>
        <v>3.1700003827335528</v>
      </c>
      <c r="H9" s="190" t="e">
        <f t="shared" ref="H9" si="47">G9/#REF!*100</f>
        <v>#REF!</v>
      </c>
      <c r="I9" s="191">
        <f>E9/E17*100</f>
        <v>33.209970258112975</v>
      </c>
      <c r="J9" s="191">
        <v>28894.661</v>
      </c>
      <c r="K9" s="113">
        <v>97086.061000000002</v>
      </c>
      <c r="L9" s="192">
        <f t="shared" si="9"/>
        <v>3.3600000013843387</v>
      </c>
      <c r="M9" s="193">
        <f t="shared" si="42"/>
        <v>105.99367809813782</v>
      </c>
      <c r="N9" s="194">
        <f>J9/J17*100</f>
        <v>32.976690906654405</v>
      </c>
      <c r="O9" s="117">
        <v>31887.465</v>
      </c>
      <c r="P9" s="118">
        <v>107141.883</v>
      </c>
      <c r="Q9" s="195">
        <f t="shared" si="0"/>
        <v>3.3600000188161712</v>
      </c>
      <c r="R9" s="118">
        <f t="shared" si="43"/>
        <v>100.00000051880453</v>
      </c>
      <c r="S9" s="191">
        <f>O9/O17*100</f>
        <v>38.791401069209577</v>
      </c>
      <c r="T9" s="117">
        <v>27212.42</v>
      </c>
      <c r="U9" s="118">
        <v>91433.731</v>
      </c>
      <c r="V9" s="196">
        <f t="shared" si="31"/>
        <v>3.3599999926504149</v>
      </c>
      <c r="W9" s="118">
        <f t="shared" si="10"/>
        <v>99.999999221257269</v>
      </c>
      <c r="X9" s="191">
        <f>T9/T17*100</f>
        <v>38.28487854488418</v>
      </c>
      <c r="Y9" s="197">
        <f t="shared" si="11"/>
        <v>87994.546000000002</v>
      </c>
      <c r="Z9" s="196">
        <f t="shared" si="32"/>
        <v>295661.67499999999</v>
      </c>
      <c r="AA9" s="196">
        <f t="shared" si="33"/>
        <v>3.3600000050003098</v>
      </c>
      <c r="AB9" s="198">
        <f>Y9/Y17*100</f>
        <v>36.527015604390861</v>
      </c>
      <c r="AC9" s="117">
        <v>26679.532999999999</v>
      </c>
      <c r="AD9" s="118">
        <v>89643.231</v>
      </c>
      <c r="AE9" s="196">
        <f t="shared" si="12"/>
        <v>3.36000000449783</v>
      </c>
      <c r="AF9" s="196">
        <f t="shared" si="1"/>
        <v>99.999999985045235</v>
      </c>
      <c r="AG9" s="191">
        <f>AC9/AC17*100</f>
        <v>36.161030870906103</v>
      </c>
      <c r="AH9" s="117">
        <v>22899.824000000001</v>
      </c>
      <c r="AI9" s="118">
        <v>76943.409</v>
      </c>
      <c r="AJ9" s="196">
        <f t="shared" si="13"/>
        <v>3.3600000157206447</v>
      </c>
      <c r="AK9" s="196">
        <f t="shared" si="14"/>
        <v>100.00000033401236</v>
      </c>
      <c r="AL9" s="191">
        <f>AH9/AH17*100</f>
        <v>33.664909266491854</v>
      </c>
      <c r="AM9" s="117">
        <v>22639.811000000002</v>
      </c>
      <c r="AN9" s="118">
        <v>76069.706999999995</v>
      </c>
      <c r="AO9" s="196">
        <f t="shared" si="15"/>
        <v>3.3599974399079562</v>
      </c>
      <c r="AP9" s="196">
        <f t="shared" si="16"/>
        <v>99.999923338908431</v>
      </c>
      <c r="AQ9" s="191">
        <f>AM9/AM17*100</f>
        <v>28.888667543363383</v>
      </c>
      <c r="AR9" s="197">
        <f t="shared" si="2"/>
        <v>72219.168000000005</v>
      </c>
      <c r="AS9" s="196">
        <f t="shared" si="2"/>
        <v>242656.34699999998</v>
      </c>
      <c r="AT9" s="196">
        <f>AS9/AR9</f>
        <v>3.359999204089418</v>
      </c>
      <c r="AU9" s="199">
        <f>AR9/AR17*100</f>
        <v>32.801280025882342</v>
      </c>
      <c r="AV9" s="197">
        <f t="shared" si="3"/>
        <v>160213.71400000001</v>
      </c>
      <c r="AW9" s="196">
        <f t="shared" si="4"/>
        <v>538318.022</v>
      </c>
      <c r="AX9" s="196">
        <f t="shared" si="18"/>
        <v>3.359999643975546</v>
      </c>
      <c r="AY9" s="118"/>
      <c r="AZ9" s="191">
        <f>AV9/AV17*100</f>
        <v>34.747906141255832</v>
      </c>
      <c r="BA9" s="146">
        <v>26452.331999999999</v>
      </c>
      <c r="BB9" s="118">
        <v>89673.406000000003</v>
      </c>
      <c r="BC9" s="196">
        <f t="shared" si="19"/>
        <v>3.3900000196580025</v>
      </c>
      <c r="BD9" s="200">
        <f t="shared" si="5"/>
        <v>100.89293460148792</v>
      </c>
      <c r="BE9" s="191">
        <f>BA9/BA17*100</f>
        <v>32.021655141198515</v>
      </c>
      <c r="BF9" s="117">
        <v>24390.093000000001</v>
      </c>
      <c r="BG9" s="118">
        <v>82682.413</v>
      </c>
      <c r="BH9" s="196">
        <f t="shared" si="34"/>
        <v>3.389999906929424</v>
      </c>
      <c r="BI9" s="200">
        <f t="shared" si="35"/>
        <v>99.999996674673213</v>
      </c>
      <c r="BJ9" s="275">
        <f>BF9/BF17*100</f>
        <v>31.789212440318714</v>
      </c>
      <c r="BK9" s="117">
        <v>20767.525000000001</v>
      </c>
      <c r="BL9" s="286">
        <v>68663.332999999999</v>
      </c>
      <c r="BM9" s="196">
        <f>BL9/BK9</f>
        <v>3.3062838734996101</v>
      </c>
      <c r="BN9" s="200">
        <f t="shared" si="37"/>
        <v>97.530500420997299</v>
      </c>
      <c r="BO9" s="191">
        <f>BK9/BK17*100</f>
        <v>30.621813982321449</v>
      </c>
      <c r="BP9" s="117">
        <f t="shared" si="44"/>
        <v>71609.950000000012</v>
      </c>
      <c r="BQ9" s="117">
        <f t="shared" si="38"/>
        <v>241019.152</v>
      </c>
      <c r="BR9" s="196">
        <f t="shared" si="20"/>
        <v>3.3657215512648726</v>
      </c>
      <c r="BS9" s="118"/>
      <c r="BT9" s="191">
        <f>BP9/BP17*100</f>
        <v>31.525200477478794</v>
      </c>
      <c r="BU9" s="117">
        <v>22884.261999999999</v>
      </c>
      <c r="BV9" s="118">
        <v>58698.402999999998</v>
      </c>
      <c r="BW9" s="196">
        <f t="shared" si="21"/>
        <v>2.5650118408887295</v>
      </c>
      <c r="BX9" s="200">
        <f t="shared" si="22"/>
        <v>77.579903572337102</v>
      </c>
      <c r="BY9" s="191">
        <f>BU9/BU17*100</f>
        <v>34.557416586941187</v>
      </c>
      <c r="BZ9" s="117">
        <v>25634.541000000001</v>
      </c>
      <c r="CA9" s="118">
        <v>84276.240999999995</v>
      </c>
      <c r="CB9" s="196">
        <f t="shared" si="23"/>
        <v>3.287604837551021</v>
      </c>
      <c r="CC9" s="200">
        <f t="shared" si="45"/>
        <v>128.17113687911578</v>
      </c>
      <c r="CD9" s="191">
        <f>BZ9/BZ17*100</f>
        <v>35.828165794839343</v>
      </c>
      <c r="CE9" s="117">
        <v>25963.507000000001</v>
      </c>
      <c r="CF9" s="118">
        <v>88016.289000000004</v>
      </c>
      <c r="CG9" s="189">
        <f t="shared" si="24"/>
        <v>3.3900000103992114</v>
      </c>
      <c r="CH9" s="190">
        <f t="shared" si="6"/>
        <v>106.94005050800494</v>
      </c>
      <c r="CI9" s="191">
        <f>CE9/CE17*100</f>
        <v>38.224734198783814</v>
      </c>
      <c r="CJ9" s="117">
        <f>BU9+BZ9+CE9</f>
        <v>74482.31</v>
      </c>
      <c r="CK9" s="117">
        <f t="shared" si="40"/>
        <v>230990.93300000002</v>
      </c>
      <c r="CL9" s="196">
        <f t="shared" si="46"/>
        <v>3.1012858355225559</v>
      </c>
      <c r="CM9" s="118"/>
      <c r="CN9" s="199">
        <f>CJ9/CJ17*100</f>
        <v>36.21044742658416</v>
      </c>
      <c r="CO9" s="197">
        <f t="shared" si="25"/>
        <v>146092.26</v>
      </c>
      <c r="CP9" s="196">
        <f t="shared" si="26"/>
        <v>472010.08500000002</v>
      </c>
      <c r="CQ9" s="196">
        <f t="shared" si="27"/>
        <v>3.2309041218200059</v>
      </c>
      <c r="CR9" s="118"/>
      <c r="CS9" s="118">
        <f>CO9/CO17*100</f>
        <v>33.751686668761771</v>
      </c>
      <c r="CT9" s="146">
        <f t="shared" si="28"/>
        <v>306305.97400000005</v>
      </c>
      <c r="CU9" s="118">
        <f t="shared" si="28"/>
        <v>1010328.1070000001</v>
      </c>
      <c r="CV9" s="196">
        <f t="shared" si="29"/>
        <v>3.2984276924354075</v>
      </c>
      <c r="CW9" s="118"/>
      <c r="CX9" s="191">
        <f>CT9/CT17*100</f>
        <v>34.482457291807584</v>
      </c>
      <c r="CY9" s="188"/>
    </row>
    <row r="10" spans="1:103" ht="87" customHeight="1" thickBot="1">
      <c r="A10" s="5" t="s">
        <v>90</v>
      </c>
      <c r="B10" s="149" t="s">
        <v>81</v>
      </c>
      <c r="C10" s="153" t="s">
        <v>22</v>
      </c>
      <c r="D10" s="114">
        <f>SUM(D11:D15)</f>
        <v>3445.7099999999996</v>
      </c>
      <c r="E10" s="215">
        <f>SUM(E11:E15)</f>
        <v>2707.7449999999999</v>
      </c>
      <c r="F10" s="215">
        <f>SUM(F11:F15)</f>
        <v>11744.048000000003</v>
      </c>
      <c r="G10" s="216">
        <f t="shared" si="7"/>
        <v>4.3372060515299644</v>
      </c>
      <c r="H10" s="217" t="e">
        <f t="shared" ref="H10" si="48">G10/#REF!*100</f>
        <v>#REF!</v>
      </c>
      <c r="I10" s="218">
        <f>E10/E17*100</f>
        <v>3.2746890696488076</v>
      </c>
      <c r="J10" s="218">
        <f>SUM(J11:J16)</f>
        <v>2805.02</v>
      </c>
      <c r="K10" s="219">
        <f>SUM(K11:K15)</f>
        <v>10282.513999999999</v>
      </c>
      <c r="L10" s="220">
        <f t="shared" si="9"/>
        <v>3.6657542548716227</v>
      </c>
      <c r="M10" s="221">
        <f t="shared" si="42"/>
        <v>84.51879415732428</v>
      </c>
      <c r="N10" s="222">
        <f>J10/J17*100</f>
        <v>3.2012930529617121</v>
      </c>
      <c r="O10" s="280">
        <f>SUM(O11:O15)+O16</f>
        <v>2490.8540000000003</v>
      </c>
      <c r="P10" s="224">
        <f>SUM(P11:P15)</f>
        <v>9007.3449999999993</v>
      </c>
      <c r="Q10" s="225">
        <f t="shared" si="0"/>
        <v>3.6161673867677506</v>
      </c>
      <c r="R10" s="224">
        <f t="shared" si="43"/>
        <v>98.647294263166359</v>
      </c>
      <c r="S10" s="226">
        <f>O10/O17*100</f>
        <v>3.0301473170992099</v>
      </c>
      <c r="T10" s="223">
        <f>SUM(T11:T15)+T16</f>
        <v>2106.3490000000002</v>
      </c>
      <c r="U10" s="224">
        <f>SUM(U11:U15)</f>
        <v>7377.732</v>
      </c>
      <c r="V10" s="227">
        <f t="shared" si="31"/>
        <v>3.5026161381613394</v>
      </c>
      <c r="W10" s="224">
        <f>V10/Q10*100</f>
        <v>96.859900650010928</v>
      </c>
      <c r="X10" s="226">
        <f>T10/T17*100</f>
        <v>2.9634011101599289</v>
      </c>
      <c r="Y10" s="228">
        <f>(T10+O10+J10)</f>
        <v>7402.223</v>
      </c>
      <c r="Z10" s="227">
        <f>(U10+P10+K10)</f>
        <v>26667.590999999997</v>
      </c>
      <c r="AA10" s="227">
        <f t="shared" si="33"/>
        <v>3.6026462591035147</v>
      </c>
      <c r="AB10" s="229">
        <f>Y10/Y17*100</f>
        <v>3.0727031085333505</v>
      </c>
      <c r="AC10" s="223">
        <f>SUM(AC11:AC15)+AC16</f>
        <v>2306.7530000000002</v>
      </c>
      <c r="AD10" s="227">
        <f>SUM(AD11:AD15)</f>
        <v>8589.9170000000013</v>
      </c>
      <c r="AE10" s="227">
        <f t="shared" si="12"/>
        <v>3.7238130827184359</v>
      </c>
      <c r="AF10" s="227">
        <f t="shared" si="1"/>
        <v>103.36327285280215</v>
      </c>
      <c r="AG10" s="226">
        <f>AC10/AC17*100</f>
        <v>3.1265377262996044</v>
      </c>
      <c r="AH10" s="223">
        <f>SUM(AH11:AH15)+AH16</f>
        <v>3424.3600000000006</v>
      </c>
      <c r="AI10" s="224">
        <f>SUM(AI11:AI15)</f>
        <v>13974.846</v>
      </c>
      <c r="AJ10" s="227">
        <f t="shared" si="13"/>
        <v>4.0810095901131884</v>
      </c>
      <c r="AK10" s="227">
        <f t="shared" si="14"/>
        <v>109.59222440708527</v>
      </c>
      <c r="AL10" s="226">
        <f>AH10/AH17*100</f>
        <v>5.0341333931563863</v>
      </c>
      <c r="AM10" s="223">
        <f>SUM(AM11:AM15)+AM16</f>
        <v>3129.8809999999999</v>
      </c>
      <c r="AN10" s="224">
        <f>SUM(AN11:AN15)</f>
        <v>11555.484999999999</v>
      </c>
      <c r="AO10" s="227">
        <f t="shared" si="15"/>
        <v>3.6919886091515939</v>
      </c>
      <c r="AP10" s="227">
        <f t="shared" si="16"/>
        <v>90.467530830997021</v>
      </c>
      <c r="AQ10" s="226">
        <f>AM10/AM17*100</f>
        <v>3.9937653039280994</v>
      </c>
      <c r="AR10" s="228">
        <f>AM10+AH10+AC10</f>
        <v>8860.9940000000006</v>
      </c>
      <c r="AS10" s="227">
        <f t="shared" ref="AS10:AS17" si="49">AN10+AI10+AD10</f>
        <v>34120.248</v>
      </c>
      <c r="AT10" s="227">
        <f t="shared" si="17"/>
        <v>3.8506117936655864</v>
      </c>
      <c r="AU10" s="230">
        <f>AR10/AR17*100</f>
        <v>4.0245817495663099</v>
      </c>
      <c r="AV10" s="228">
        <f t="shared" si="3"/>
        <v>16263.217000000001</v>
      </c>
      <c r="AW10" s="227">
        <f t="shared" si="4"/>
        <v>60787.838999999993</v>
      </c>
      <c r="AX10" s="227">
        <f t="shared" si="18"/>
        <v>3.7377499789863218</v>
      </c>
      <c r="AY10" s="224"/>
      <c r="AZ10" s="226">
        <f>AV10/AV17*100</f>
        <v>3.5272432288216993</v>
      </c>
      <c r="BA10" s="268">
        <f>SUM(BA11:BA16)</f>
        <v>2725.8069999999998</v>
      </c>
      <c r="BB10" s="268">
        <f>SUM(BB11:BB16)</f>
        <v>12978.522999999997</v>
      </c>
      <c r="BC10" s="227">
        <f>BB10/BA10</f>
        <v>4.7613506752312249</v>
      </c>
      <c r="BD10" s="269">
        <f t="shared" si="5"/>
        <v>128.96439234479021</v>
      </c>
      <c r="BE10" s="226">
        <f>BA10/BA17*100</f>
        <v>3.2997034717190488</v>
      </c>
      <c r="BF10" s="223">
        <f>SUM(BF11:BF16)</f>
        <v>2134.91</v>
      </c>
      <c r="BG10" s="224">
        <f>SUM(BG11:BG16)</f>
        <v>10129.843999999999</v>
      </c>
      <c r="BH10" s="227">
        <f t="shared" si="34"/>
        <v>4.7448576286588189</v>
      </c>
      <c r="BI10" s="269">
        <f>BH10/BC10*100</f>
        <v>99.653605716163611</v>
      </c>
      <c r="BJ10" s="276">
        <f>BF10/BF17*100</f>
        <v>2.7825686245214736</v>
      </c>
      <c r="BK10" s="223">
        <f>SUM(BK11:BK16)</f>
        <v>1160.8800000000001</v>
      </c>
      <c r="BL10" s="223">
        <f>SUM(BL11:BL16)</f>
        <v>5424.4709999999995</v>
      </c>
      <c r="BM10" s="227">
        <f t="shared" si="36"/>
        <v>4.6727232788918744</v>
      </c>
      <c r="BN10" s="269">
        <f t="shared" si="37"/>
        <v>98.479736265820605</v>
      </c>
      <c r="BO10" s="229">
        <f>BK10/BK17*100</f>
        <v>1.7117230587562711</v>
      </c>
      <c r="BP10" s="223">
        <f>SUM(BP11:BP16)</f>
        <v>6021.5969999999998</v>
      </c>
      <c r="BQ10" s="223">
        <f>SUM(BQ11:BQ16)</f>
        <v>28532.838</v>
      </c>
      <c r="BR10" s="227">
        <f t="shared" si="20"/>
        <v>4.7384170677645816</v>
      </c>
      <c r="BS10" s="224"/>
      <c r="BT10" s="226">
        <f>BP10/BP17*100</f>
        <v>2.6509172624695982</v>
      </c>
      <c r="BU10" s="215">
        <f>SUM(BU11:BU15)</f>
        <v>-203.44499999999999</v>
      </c>
      <c r="BV10" s="215">
        <f>SUM(BV11:BV15)</f>
        <v>-1130.0399999999993</v>
      </c>
      <c r="BW10" s="232">
        <f t="shared" si="21"/>
        <v>5.5545233355452304</v>
      </c>
      <c r="BX10" s="233">
        <f t="shared" si="22"/>
        <v>118.87122356756534</v>
      </c>
      <c r="BY10" s="218">
        <f>BU10/BU17*100</f>
        <v>-0.30722133916882488</v>
      </c>
      <c r="BZ10" s="215">
        <f>SUM(BZ11:BZ15)</f>
        <v>2053.848</v>
      </c>
      <c r="CA10" s="215">
        <f>SUM(CA11:CA15)</f>
        <v>9827.1180000000004</v>
      </c>
      <c r="CB10" s="232">
        <f t="shared" si="23"/>
        <v>4.7847348002383825</v>
      </c>
      <c r="CC10" s="233">
        <f t="shared" si="45"/>
        <v>86.14123141079061</v>
      </c>
      <c r="CD10" s="218">
        <f>BZ10/BZ17*100</f>
        <v>2.8705646284596704</v>
      </c>
      <c r="CE10" s="215">
        <f>SUM(CE11:CE15)</f>
        <v>1216.6790000000001</v>
      </c>
      <c r="CF10" s="215">
        <f>SUM(CF11:CF15)</f>
        <v>5764.076</v>
      </c>
      <c r="CG10" s="216">
        <f t="shared" si="24"/>
        <v>4.7375486878626161</v>
      </c>
      <c r="CH10" s="217">
        <f t="shared" si="6"/>
        <v>109.23042695173382</v>
      </c>
      <c r="CI10" s="218">
        <f>CE10/CE17*100</f>
        <v>1.7912538310114305</v>
      </c>
      <c r="CJ10" s="215">
        <f>SUM(CJ11:CJ15)</f>
        <v>3067.0819999999999</v>
      </c>
      <c r="CK10" s="215">
        <f>SUM(CK11:CK15)</f>
        <v>14461.154</v>
      </c>
      <c r="CL10" s="232">
        <f t="shared" si="46"/>
        <v>4.714955126729576</v>
      </c>
      <c r="CM10" s="234"/>
      <c r="CN10" s="236">
        <f>CJ10/CJ17*100</f>
        <v>1.4910978393933083</v>
      </c>
      <c r="CO10" s="237">
        <f t="shared" si="25"/>
        <v>9088.6790000000001</v>
      </c>
      <c r="CP10" s="232">
        <f t="shared" si="26"/>
        <v>42993.991999999998</v>
      </c>
      <c r="CQ10" s="232">
        <f t="shared" si="27"/>
        <v>4.7304995588467804</v>
      </c>
      <c r="CR10" s="234"/>
      <c r="CS10" s="234">
        <f>CO10/CO17*100</f>
        <v>2.0997570017806213</v>
      </c>
      <c r="CT10" s="231">
        <f>SUM(CT11:CT16)</f>
        <v>27205.712</v>
      </c>
      <c r="CU10" s="215">
        <f>SUM(CU11:CU16)</f>
        <v>129344.14</v>
      </c>
      <c r="CV10" s="232">
        <f>CU10/CT10</f>
        <v>4.7543008615249622</v>
      </c>
      <c r="CW10" s="234"/>
      <c r="CX10" s="218">
        <f>CT10/CT17*100</f>
        <v>3.062688559032861</v>
      </c>
      <c r="CY10" s="188"/>
    </row>
    <row r="11" spans="1:103" ht="87" customHeight="1" thickBot="1">
      <c r="B11" s="154" t="s">
        <v>86</v>
      </c>
      <c r="C11" s="187" t="s">
        <v>3</v>
      </c>
      <c r="D11" s="115">
        <v>87.034999999999997</v>
      </c>
      <c r="E11" s="215">
        <v>169.76</v>
      </c>
      <c r="F11" s="234">
        <v>769.01310000000001</v>
      </c>
      <c r="G11" s="216">
        <f t="shared" si="7"/>
        <v>4.530001767200754</v>
      </c>
      <c r="H11" s="217" t="e">
        <f t="shared" ref="H11" si="50">G11/#REF!*100</f>
        <v>#REF!</v>
      </c>
      <c r="I11" s="218">
        <f>E11/E10*100</f>
        <v>6.2694234501402466</v>
      </c>
      <c r="J11" s="218">
        <v>69.823999999999998</v>
      </c>
      <c r="K11" s="238">
        <v>335.15600000000001</v>
      </c>
      <c r="L11" s="239">
        <f t="shared" si="9"/>
        <v>4.8000114573785524</v>
      </c>
      <c r="M11" s="238">
        <f t="shared" si="42"/>
        <v>105.96047648662721</v>
      </c>
      <c r="N11" s="240">
        <f>J11/J10*100</f>
        <v>2.4892514135371582</v>
      </c>
      <c r="O11" s="215">
        <v>55.886000000000003</v>
      </c>
      <c r="P11" s="234">
        <v>268.25299999999999</v>
      </c>
      <c r="Q11" s="241">
        <f t="shared" si="0"/>
        <v>4.8000035787138096</v>
      </c>
      <c r="R11" s="234">
        <f t="shared" si="43"/>
        <v>99.999835861542991</v>
      </c>
      <c r="S11" s="218">
        <f>O11/O10*100</f>
        <v>2.2436481624374611</v>
      </c>
      <c r="T11" s="215">
        <v>54.228999999999999</v>
      </c>
      <c r="U11" s="234">
        <v>260.3</v>
      </c>
      <c r="V11" s="232">
        <f t="shared" si="31"/>
        <v>4.8000147522543291</v>
      </c>
      <c r="W11" s="234">
        <f t="shared" si="10"/>
        <v>100.0002327819206</v>
      </c>
      <c r="X11" s="218">
        <f>T11/T10*100</f>
        <v>2.5745496116740383</v>
      </c>
      <c r="Y11" s="237">
        <f t="shared" si="11"/>
        <v>179.93900000000002</v>
      </c>
      <c r="Z11" s="232">
        <f>(U11+P11+K11)</f>
        <v>863.70900000000006</v>
      </c>
      <c r="AA11" s="232">
        <f t="shared" si="33"/>
        <v>4.8000100033900379</v>
      </c>
      <c r="AB11" s="235">
        <f>Y11/Y10*100</f>
        <v>2.4308778592593066</v>
      </c>
      <c r="AC11" s="215">
        <v>171.05600000000001</v>
      </c>
      <c r="AD11" s="234">
        <v>821.06899999999996</v>
      </c>
      <c r="AE11" s="232">
        <f t="shared" si="12"/>
        <v>4.8000011692077447</v>
      </c>
      <c r="AF11" s="232">
        <f t="shared" si="1"/>
        <v>99.999815954919114</v>
      </c>
      <c r="AG11" s="218">
        <f>AC11/AC10*100</f>
        <v>7.4154449999631513</v>
      </c>
      <c r="AH11" s="215">
        <v>51.851999999999997</v>
      </c>
      <c r="AI11" s="234">
        <v>248.89</v>
      </c>
      <c r="AJ11" s="232">
        <f t="shared" si="13"/>
        <v>4.8000077142636739</v>
      </c>
      <c r="AK11" s="232">
        <f t="shared" si="14"/>
        <v>100.00013635529865</v>
      </c>
      <c r="AL11" s="218">
        <f>AH11/AH10*100</f>
        <v>1.5142099545608518</v>
      </c>
      <c r="AM11" s="215">
        <v>60.774000000000001</v>
      </c>
      <c r="AN11" s="234">
        <v>291.71600000000001</v>
      </c>
      <c r="AO11" s="232">
        <f t="shared" si="15"/>
        <v>4.8000131635238752</v>
      </c>
      <c r="AP11" s="232">
        <f t="shared" si="16"/>
        <v>100.00011352607174</v>
      </c>
      <c r="AQ11" s="218">
        <f>AM11/AM10*100</f>
        <v>1.9417351650110659</v>
      </c>
      <c r="AR11" s="237">
        <f t="shared" ref="AR11:AR17" si="51">AM11+AH11+AC11</f>
        <v>283.68200000000002</v>
      </c>
      <c r="AS11" s="232">
        <f t="shared" si="49"/>
        <v>1361.675</v>
      </c>
      <c r="AT11" s="232">
        <f t="shared" si="17"/>
        <v>4.8000049351033898</v>
      </c>
      <c r="AU11" s="236">
        <f>AR11/AR10*100</f>
        <v>3.2014692708289836</v>
      </c>
      <c r="AV11" s="237">
        <f t="shared" si="3"/>
        <v>463.62100000000004</v>
      </c>
      <c r="AW11" s="232">
        <f t="shared" si="4"/>
        <v>2225.384</v>
      </c>
      <c r="AX11" s="232">
        <f t="shared" si="18"/>
        <v>4.8000069021895033</v>
      </c>
      <c r="AY11" s="234"/>
      <c r="AZ11" s="218">
        <f>AV11/AV10*100</f>
        <v>2.8507336525116775</v>
      </c>
      <c r="BA11" s="231">
        <f>50.693+104.177</f>
        <v>154.87</v>
      </c>
      <c r="BB11" s="234">
        <f>245.355+353.161</f>
        <v>598.51599999999996</v>
      </c>
      <c r="BC11" s="232">
        <f t="shared" si="19"/>
        <v>3.8646348550397103</v>
      </c>
      <c r="BD11" s="233">
        <f t="shared" si="5"/>
        <v>80.513005347729759</v>
      </c>
      <c r="BE11" s="218">
        <f>BA11/BA10*100</f>
        <v>5.6816201587273056</v>
      </c>
      <c r="BF11" s="215">
        <f>56.122+84.146</f>
        <v>140.268</v>
      </c>
      <c r="BG11" s="234">
        <f>271.631+285.255</f>
        <v>556.88599999999997</v>
      </c>
      <c r="BH11" s="232">
        <f t="shared" si="34"/>
        <v>3.9701571277839562</v>
      </c>
      <c r="BI11" s="233">
        <f t="shared" si="35"/>
        <v>102.73045906540533</v>
      </c>
      <c r="BJ11" s="277">
        <f>BF11/BF10*100</f>
        <v>6.5702067066058998</v>
      </c>
      <c r="BK11" s="215">
        <f>81.187+86.154</f>
        <v>167.34100000000001</v>
      </c>
      <c r="BL11" s="234">
        <f>392.946+292.063</f>
        <v>685.00900000000001</v>
      </c>
      <c r="BM11" s="232">
        <f t="shared" si="36"/>
        <v>4.0934917324505049</v>
      </c>
      <c r="BN11" s="233">
        <f t="shared" si="37"/>
        <v>103.10654215178106</v>
      </c>
      <c r="BO11" s="218">
        <f>BK11/BK10*100</f>
        <v>14.415012748949071</v>
      </c>
      <c r="BP11" s="215">
        <f>BA11+BF11+BK11</f>
        <v>462.47900000000004</v>
      </c>
      <c r="BQ11" s="215">
        <f>BB11+BG11+BL11</f>
        <v>1840.4110000000001</v>
      </c>
      <c r="BR11" s="232">
        <f t="shared" si="20"/>
        <v>3.979447715463837</v>
      </c>
      <c r="BS11" s="234"/>
      <c r="BT11" s="218">
        <f>BP11/BP10*100</f>
        <v>7.6803379568576249</v>
      </c>
      <c r="BU11" s="215">
        <f>-115.174+100.253</f>
        <v>-14.921000000000006</v>
      </c>
      <c r="BV11" s="234">
        <f>-557.442+339.858</f>
        <v>-217.584</v>
      </c>
      <c r="BW11" s="232">
        <f t="shared" si="21"/>
        <v>14.582400643388507</v>
      </c>
      <c r="BX11" s="233">
        <f t="shared" si="22"/>
        <v>356.23378759480187</v>
      </c>
      <c r="BY11" s="218">
        <f>BU11/BU10*100</f>
        <v>7.3341689400083592</v>
      </c>
      <c r="BZ11" s="215">
        <f>59.799+78.28</f>
        <v>138.07900000000001</v>
      </c>
      <c r="CA11" s="234">
        <f>289.427+265.369</f>
        <v>554.79600000000005</v>
      </c>
      <c r="CB11" s="232">
        <f t="shared" si="23"/>
        <v>4.0179607326240774</v>
      </c>
      <c r="CC11" s="233">
        <f t="shared" si="45"/>
        <v>27.553492945935311</v>
      </c>
      <c r="CD11" s="218">
        <f>BZ11/BZ10*100</f>
        <v>6.7229415224495686</v>
      </c>
      <c r="CE11" s="215">
        <f>53.34+85.966</f>
        <v>139.30599999999998</v>
      </c>
      <c r="CF11" s="234">
        <f>258.166+291.425</f>
        <v>549.59100000000001</v>
      </c>
      <c r="CG11" s="216">
        <f t="shared" si="24"/>
        <v>3.9452069544743233</v>
      </c>
      <c r="CH11" s="217">
        <f t="shared" si="6"/>
        <v>87.090627271702033</v>
      </c>
      <c r="CI11" s="218">
        <f>CE11/CE10*100</f>
        <v>11.449692153805561</v>
      </c>
      <c r="CJ11" s="215">
        <f>BU11+BZ11+CE11</f>
        <v>262.464</v>
      </c>
      <c r="CK11" s="215">
        <f>BV11+CA11+CF11</f>
        <v>886.80300000000011</v>
      </c>
      <c r="CL11" s="232">
        <f t="shared" si="46"/>
        <v>3.3787605157278717</v>
      </c>
      <c r="CM11" s="234"/>
      <c r="CN11" s="236">
        <f>CJ11/CJ10*100</f>
        <v>8.557449719309755</v>
      </c>
      <c r="CO11" s="237">
        <f t="shared" si="25"/>
        <v>724.94299999999998</v>
      </c>
      <c r="CP11" s="232">
        <f t="shared" si="26"/>
        <v>2727.2139999999999</v>
      </c>
      <c r="CQ11" s="232">
        <f t="shared" si="27"/>
        <v>3.7619702514542523</v>
      </c>
      <c r="CR11" s="234"/>
      <c r="CS11" s="234">
        <f>CO11/CO10*100</f>
        <v>7.9763296734321889</v>
      </c>
      <c r="CT11" s="231">
        <f t="shared" ref="CT11:CU16" si="52">Y11+AR11+BP11+CJ11</f>
        <v>1188.5640000000001</v>
      </c>
      <c r="CU11" s="215">
        <f t="shared" si="52"/>
        <v>4952.598</v>
      </c>
      <c r="CV11" s="232">
        <f t="shared" si="29"/>
        <v>4.1668753218169146</v>
      </c>
      <c r="CW11" s="234"/>
      <c r="CX11" s="218">
        <f>CT11/CT10*100</f>
        <v>4.3688031395759834</v>
      </c>
      <c r="CY11" s="188"/>
    </row>
    <row r="12" spans="1:103" ht="85.5" customHeight="1" thickBot="1">
      <c r="B12" s="154" t="s">
        <v>87</v>
      </c>
      <c r="C12" s="187" t="s">
        <v>4</v>
      </c>
      <c r="D12" s="115">
        <v>2319.3069999999998</v>
      </c>
      <c r="E12" s="215">
        <v>1375.135</v>
      </c>
      <c r="F12" s="234">
        <v>6229.3616000000002</v>
      </c>
      <c r="G12" s="216">
        <f t="shared" si="7"/>
        <v>4.5300000363600663</v>
      </c>
      <c r="H12" s="217" t="e">
        <f t="shared" ref="H12" si="53">G12/#REF!*100</f>
        <v>#REF!</v>
      </c>
      <c r="I12" s="218">
        <f>E12/E10*100</f>
        <v>50.785247502996036</v>
      </c>
      <c r="J12" s="218">
        <v>1266.6610000000001</v>
      </c>
      <c r="K12" s="238">
        <v>6079.973</v>
      </c>
      <c r="L12" s="239">
        <f t="shared" si="9"/>
        <v>4.8000001578954432</v>
      </c>
      <c r="M12" s="238">
        <f t="shared" si="42"/>
        <v>105.96026753572229</v>
      </c>
      <c r="N12" s="240">
        <f>J12/J10*100</f>
        <v>45.156932927394458</v>
      </c>
      <c r="O12" s="215">
        <v>1097.9770000000001</v>
      </c>
      <c r="P12" s="234">
        <v>5270.29</v>
      </c>
      <c r="Q12" s="241">
        <f t="shared" ref="Q12:Q16" si="54">P12/O12</f>
        <v>4.8000003643063556</v>
      </c>
      <c r="R12" s="234">
        <f t="shared" si="43"/>
        <v>100.0000043002272</v>
      </c>
      <c r="S12" s="218">
        <f>O12/O10*100</f>
        <v>44.080343528765638</v>
      </c>
      <c r="T12" s="215">
        <v>834.34699999999998</v>
      </c>
      <c r="U12" s="234">
        <v>4004.866</v>
      </c>
      <c r="V12" s="232">
        <f t="shared" si="31"/>
        <v>4.8000004794168376</v>
      </c>
      <c r="W12" s="234">
        <f t="shared" si="10"/>
        <v>100.00000239813487</v>
      </c>
      <c r="X12" s="218">
        <f>T12/T10*100</f>
        <v>39.611052109598162</v>
      </c>
      <c r="Y12" s="237">
        <f t="shared" si="11"/>
        <v>3198.9850000000001</v>
      </c>
      <c r="Z12" s="232">
        <f t="shared" ref="Z12:Z16" si="55">(U12+P12+K12)</f>
        <v>15355.128999999999</v>
      </c>
      <c r="AA12" s="232">
        <f t="shared" si="33"/>
        <v>4.8000003125991517</v>
      </c>
      <c r="AB12" s="235">
        <f>Y12/Y10*100</f>
        <v>43.216544543443234</v>
      </c>
      <c r="AC12" s="215">
        <v>1131.4259999999999</v>
      </c>
      <c r="AD12" s="234">
        <v>5430.8450000000003</v>
      </c>
      <c r="AE12" s="232">
        <f t="shared" si="12"/>
        <v>4.8000001767680791</v>
      </c>
      <c r="AF12" s="232">
        <f t="shared" si="1"/>
        <v>99.999997170186177</v>
      </c>
      <c r="AG12" s="218">
        <f>AC10/AC9*100</f>
        <v>8.6461520896936239</v>
      </c>
      <c r="AH12" s="215">
        <v>2371.1460000000002</v>
      </c>
      <c r="AI12" s="234">
        <v>11381.501</v>
      </c>
      <c r="AJ12" s="232">
        <f t="shared" si="13"/>
        <v>4.8000000843474</v>
      </c>
      <c r="AK12" s="232">
        <f t="shared" si="14"/>
        <v>99.999998074569248</v>
      </c>
      <c r="AL12" s="218">
        <f>AH12/AH10*100</f>
        <v>69.243479073461899</v>
      </c>
      <c r="AM12" s="215">
        <v>1765.9829999999999</v>
      </c>
      <c r="AN12" s="234">
        <v>8476.7189999999991</v>
      </c>
      <c r="AO12" s="232">
        <f t="shared" si="15"/>
        <v>4.8000003397541198</v>
      </c>
      <c r="AP12" s="232">
        <f t="shared" si="16"/>
        <v>100.00000532097324</v>
      </c>
      <c r="AQ12" s="218">
        <f>AM12/AM10*100</f>
        <v>56.423327276660039</v>
      </c>
      <c r="AR12" s="237">
        <f t="shared" si="51"/>
        <v>5268.5550000000003</v>
      </c>
      <c r="AS12" s="232">
        <f t="shared" si="49"/>
        <v>25289.065000000002</v>
      </c>
      <c r="AT12" s="232">
        <f t="shared" si="17"/>
        <v>4.8000001898053641</v>
      </c>
      <c r="AU12" s="236">
        <f>AR12/AR10*100</f>
        <v>59.457832834555582</v>
      </c>
      <c r="AV12" s="237">
        <f t="shared" si="3"/>
        <v>8467.5400000000009</v>
      </c>
      <c r="AW12" s="232">
        <f t="shared" si="4"/>
        <v>40644.194000000003</v>
      </c>
      <c r="AX12" s="232">
        <f t="shared" si="18"/>
        <v>4.8000002361961087</v>
      </c>
      <c r="AY12" s="234"/>
      <c r="AZ12" s="218">
        <f>AV12/AV10*100</f>
        <v>52.065590713079715</v>
      </c>
      <c r="BA12" s="231">
        <v>1527.2280000000001</v>
      </c>
      <c r="BB12" s="234">
        <v>7391.7839999999997</v>
      </c>
      <c r="BC12" s="232">
        <f t="shared" si="19"/>
        <v>4.8400003142949179</v>
      </c>
      <c r="BD12" s="233">
        <f t="shared" si="5"/>
        <v>100.83333274394826</v>
      </c>
      <c r="BE12" s="218">
        <f>BA12/BA10*100</f>
        <v>56.02847156823649</v>
      </c>
      <c r="BF12" s="215">
        <v>1107.6289999999999</v>
      </c>
      <c r="BG12" s="234">
        <v>5360.9250000000002</v>
      </c>
      <c r="BH12" s="232">
        <f t="shared" si="34"/>
        <v>4.8400005778108017</v>
      </c>
      <c r="BI12" s="233">
        <f t="shared" si="35"/>
        <v>100.00000544454271</v>
      </c>
      <c r="BJ12" s="277">
        <f>BF12/BF10*100</f>
        <v>51.881765507679475</v>
      </c>
      <c r="BK12" s="215">
        <v>27.725000000000001</v>
      </c>
      <c r="BL12" s="234">
        <v>134.18899999999999</v>
      </c>
      <c r="BM12" s="232">
        <f t="shared" si="36"/>
        <v>4.84</v>
      </c>
      <c r="BN12" s="233">
        <f t="shared" si="37"/>
        <v>99.999988061761712</v>
      </c>
      <c r="BO12" s="218">
        <f>BK12/BK10*100</f>
        <v>2.3882744125146438</v>
      </c>
      <c r="BP12" s="215">
        <f t="shared" ref="BP12:BP16" si="56">BA12+BF12+BK12</f>
        <v>2662.5819999999999</v>
      </c>
      <c r="BQ12" s="215">
        <f t="shared" ref="BQ12:BQ16" si="57">BB12+BG12+BL12</f>
        <v>12886.897999999999</v>
      </c>
      <c r="BR12" s="232">
        <f t="shared" si="20"/>
        <v>4.8400004206443219</v>
      </c>
      <c r="BS12" s="234"/>
      <c r="BT12" s="218">
        <f>BP12/BP10*100</f>
        <v>44.217206830679636</v>
      </c>
      <c r="BU12" s="215">
        <v>-672.28899999999999</v>
      </c>
      <c r="BV12" s="234">
        <v>-3253.8789999999999</v>
      </c>
      <c r="BW12" s="232">
        <f t="shared" si="21"/>
        <v>4.8400003569893304</v>
      </c>
      <c r="BX12" s="233">
        <f t="shared" si="22"/>
        <v>100.0000073758126</v>
      </c>
      <c r="BY12" s="218">
        <f>BU12/BU10*100</f>
        <v>330.4524564378579</v>
      </c>
      <c r="BZ12" s="215">
        <v>1152.761</v>
      </c>
      <c r="CA12" s="234">
        <v>5579.3630000000003</v>
      </c>
      <c r="CB12" s="232">
        <f t="shared" si="23"/>
        <v>4.8399997918041988</v>
      </c>
      <c r="CC12" s="233">
        <f t="shared" si="45"/>
        <v>99.999988322622116</v>
      </c>
      <c r="CD12" s="218">
        <f>BZ12/BZ10*100</f>
        <v>56.126889623769628</v>
      </c>
      <c r="CE12" s="215">
        <v>343.46100000000001</v>
      </c>
      <c r="CF12" s="234">
        <v>1662.3510000000001</v>
      </c>
      <c r="CG12" s="216">
        <f t="shared" si="24"/>
        <v>4.8399993012307077</v>
      </c>
      <c r="CH12" s="217">
        <f t="shared" si="6"/>
        <v>106.84325082521922</v>
      </c>
      <c r="CI12" s="218">
        <f>CE12/CE10*100</f>
        <v>28.22938507198694</v>
      </c>
      <c r="CJ12" s="215">
        <f t="shared" ref="CJ12:CJ16" si="58">BU12+BZ12+CE12</f>
        <v>823.93299999999999</v>
      </c>
      <c r="CK12" s="215">
        <f t="shared" ref="CK12:CK16" si="59">BV12+CA12+CF12</f>
        <v>3987.8350000000005</v>
      </c>
      <c r="CL12" s="232">
        <f t="shared" si="46"/>
        <v>4.8399991261425388</v>
      </c>
      <c r="CM12" s="234"/>
      <c r="CN12" s="236">
        <f>CJ12/CJ10*100</f>
        <v>26.863742149704507</v>
      </c>
      <c r="CO12" s="237">
        <f t="shared" si="25"/>
        <v>3486.5149999999999</v>
      </c>
      <c r="CP12" s="232">
        <f t="shared" si="26"/>
        <v>16874.733</v>
      </c>
      <c r="CQ12" s="232">
        <f t="shared" si="27"/>
        <v>4.8400001147277445</v>
      </c>
      <c r="CR12" s="234"/>
      <c r="CS12" s="234">
        <f>CO12/CO10*100</f>
        <v>38.361075355395428</v>
      </c>
      <c r="CT12" s="231">
        <f t="shared" si="52"/>
        <v>11954.055</v>
      </c>
      <c r="CU12" s="215">
        <f t="shared" si="52"/>
        <v>57518.927000000003</v>
      </c>
      <c r="CV12" s="232">
        <f t="shared" si="29"/>
        <v>4.8116665851043852</v>
      </c>
      <c r="CW12" s="234"/>
      <c r="CX12" s="218">
        <f>CT12/CT10*100</f>
        <v>43.939504321739498</v>
      </c>
      <c r="CY12" s="188"/>
    </row>
    <row r="13" spans="1:103" ht="99.75" customHeight="1" thickBot="1">
      <c r="B13" s="187" t="s">
        <v>83</v>
      </c>
      <c r="C13" s="187" t="s">
        <v>5</v>
      </c>
      <c r="D13" s="115">
        <v>225.03299999999999</v>
      </c>
      <c r="E13" s="215">
        <v>239.72499999999999</v>
      </c>
      <c r="F13" s="234">
        <v>1085.9552000000001</v>
      </c>
      <c r="G13" s="216">
        <f t="shared" si="7"/>
        <v>4.5300039628741269</v>
      </c>
      <c r="H13" s="217" t="e">
        <f t="shared" ref="H13" si="60">G13/#REF!*100</f>
        <v>#REF!</v>
      </c>
      <c r="I13" s="218">
        <f>E13/E10*100</f>
        <v>8.8533078262539497</v>
      </c>
      <c r="J13" s="218">
        <v>324.57100000000003</v>
      </c>
      <c r="K13" s="238">
        <v>1557.941</v>
      </c>
      <c r="L13" s="239">
        <f t="shared" si="9"/>
        <v>4.8000006161979965</v>
      </c>
      <c r="M13" s="238">
        <f t="shared" si="42"/>
        <v>105.96018580859179</v>
      </c>
      <c r="N13" s="240">
        <f>J13/J10*100</f>
        <v>11.571076142059594</v>
      </c>
      <c r="O13" s="215">
        <v>260.35700000000003</v>
      </c>
      <c r="P13" s="234">
        <v>1249.7139999999999</v>
      </c>
      <c r="Q13" s="241">
        <f>P13/O13</f>
        <v>4.8000015363520081</v>
      </c>
      <c r="R13" s="234">
        <f t="shared" si="43"/>
        <v>100.00001916987277</v>
      </c>
      <c r="S13" s="218">
        <f>O13/O10*100</f>
        <v>10.452519497329028</v>
      </c>
      <c r="T13" s="215">
        <v>268.74799999999999</v>
      </c>
      <c r="U13" s="234">
        <v>1289.991</v>
      </c>
      <c r="V13" s="232">
        <f t="shared" si="31"/>
        <v>4.8000022325747542</v>
      </c>
      <c r="W13" s="234">
        <f t="shared" si="10"/>
        <v>100.00001450463589</v>
      </c>
      <c r="X13" s="218">
        <f>T13/T10*100</f>
        <v>12.758949252949058</v>
      </c>
      <c r="Y13" s="237">
        <f t="shared" si="11"/>
        <v>853.67600000000004</v>
      </c>
      <c r="Z13" s="232">
        <f t="shared" si="55"/>
        <v>4097.6459999999997</v>
      </c>
      <c r="AA13" s="232">
        <f t="shared" si="33"/>
        <v>4.8000014056855287</v>
      </c>
      <c r="AB13" s="235">
        <f>Y13/Y10*100</f>
        <v>11.532697677440954</v>
      </c>
      <c r="AC13" s="215">
        <v>153.59299999999999</v>
      </c>
      <c r="AD13" s="234">
        <v>737.24599999999998</v>
      </c>
      <c r="AE13" s="232">
        <f t="shared" si="12"/>
        <v>4.7999973957146489</v>
      </c>
      <c r="AF13" s="232">
        <f t="shared" si="1"/>
        <v>99.999916458964464</v>
      </c>
      <c r="AG13" s="218">
        <f>AC13/AC10*100</f>
        <v>6.6584068602056652</v>
      </c>
      <c r="AH13" s="215">
        <v>120.26</v>
      </c>
      <c r="AI13" s="234">
        <v>577.24800000000005</v>
      </c>
      <c r="AJ13" s="232">
        <f t="shared" si="13"/>
        <v>4.8</v>
      </c>
      <c r="AK13" s="232">
        <f t="shared" si="14"/>
        <v>100.00005425597425</v>
      </c>
      <c r="AL13" s="218">
        <f>AH13/AH10*100</f>
        <v>3.5118971136212309</v>
      </c>
      <c r="AM13" s="215">
        <v>214.01900000000001</v>
      </c>
      <c r="AN13" s="234">
        <v>1027.2919999999999</v>
      </c>
      <c r="AO13" s="232">
        <f t="shared" si="15"/>
        <v>4.8000037379858789</v>
      </c>
      <c r="AP13" s="232">
        <f t="shared" si="16"/>
        <v>100.00007787470582</v>
      </c>
      <c r="AQ13" s="218">
        <f>AM13/AM10*100</f>
        <v>6.8379277039606308</v>
      </c>
      <c r="AR13" s="237">
        <f t="shared" si="51"/>
        <v>487.87199999999996</v>
      </c>
      <c r="AS13" s="232">
        <f t="shared" si="49"/>
        <v>2341.7860000000001</v>
      </c>
      <c r="AT13" s="232">
        <f t="shared" si="17"/>
        <v>4.8000008198871837</v>
      </c>
      <c r="AU13" s="236">
        <f>AR13/AR10*100</f>
        <v>5.5058382840570701</v>
      </c>
      <c r="AV13" s="237">
        <f t="shared" si="3"/>
        <v>1341.548</v>
      </c>
      <c r="AW13" s="232">
        <f t="shared" si="4"/>
        <v>6439.4319999999998</v>
      </c>
      <c r="AX13" s="232">
        <f t="shared" si="18"/>
        <v>4.8000011926520703</v>
      </c>
      <c r="AY13" s="234"/>
      <c r="AZ13" s="218">
        <f>AV13/AV10*100</f>
        <v>8.2489706679803874</v>
      </c>
      <c r="BA13" s="231">
        <v>129.351</v>
      </c>
      <c r="BB13" s="234">
        <v>626.05899999999997</v>
      </c>
      <c r="BC13" s="232">
        <f t="shared" si="19"/>
        <v>4.8400012369444374</v>
      </c>
      <c r="BD13" s="233">
        <f t="shared" si="5"/>
        <v>100.8332805793885</v>
      </c>
      <c r="BE13" s="218">
        <f>BA13/BA10*100</f>
        <v>4.7454203470751963</v>
      </c>
      <c r="BF13" s="215">
        <v>125.73399999999999</v>
      </c>
      <c r="BG13" s="234">
        <v>608.553</v>
      </c>
      <c r="BH13" s="232">
        <f t="shared" si="34"/>
        <v>4.8400034994512229</v>
      </c>
      <c r="BI13" s="233">
        <f t="shared" si="35"/>
        <v>100.000046745996</v>
      </c>
      <c r="BJ13" s="277">
        <f>BF13/BF10*100</f>
        <v>5.8894285941796145</v>
      </c>
      <c r="BK13" s="215">
        <v>110.354</v>
      </c>
      <c r="BL13" s="234">
        <v>534.11400000000003</v>
      </c>
      <c r="BM13" s="232">
        <f t="shared" si="36"/>
        <v>4.8400057995179155</v>
      </c>
      <c r="BN13" s="233">
        <f t="shared" si="37"/>
        <v>100.00004752200475</v>
      </c>
      <c r="BO13" s="218">
        <f>BK13/BK10*100</f>
        <v>9.5060643649645087</v>
      </c>
      <c r="BP13" s="215">
        <f t="shared" si="56"/>
        <v>365.43899999999996</v>
      </c>
      <c r="BQ13" s="215">
        <f t="shared" si="57"/>
        <v>1768.7260000000001</v>
      </c>
      <c r="BR13" s="232">
        <f t="shared" si="20"/>
        <v>4.8400033931791633</v>
      </c>
      <c r="BS13" s="234"/>
      <c r="BT13" s="218">
        <f>BP13/BP10*100</f>
        <v>6.0688053351959619</v>
      </c>
      <c r="BU13" s="215">
        <v>138.465</v>
      </c>
      <c r="BV13" s="234">
        <v>670.17100000000005</v>
      </c>
      <c r="BW13" s="232">
        <f t="shared" si="21"/>
        <v>4.8400028888166684</v>
      </c>
      <c r="BX13" s="233">
        <f t="shared" si="22"/>
        <v>99.999939861616539</v>
      </c>
      <c r="BY13" s="218">
        <f>BU13/BU10*100</f>
        <v>-68.060163680601633</v>
      </c>
      <c r="BZ13" s="215">
        <v>227.85499999999999</v>
      </c>
      <c r="CA13" s="234">
        <v>1102.818</v>
      </c>
      <c r="CB13" s="232">
        <f t="shared" si="23"/>
        <v>4.8399991222487984</v>
      </c>
      <c r="CC13" s="233">
        <f t="shared" si="45"/>
        <v>99.999922178396233</v>
      </c>
      <c r="CD13" s="218">
        <f>BZ13/BZ10*100</f>
        <v>11.094053698228885</v>
      </c>
      <c r="CE13" s="215">
        <v>234.76300000000001</v>
      </c>
      <c r="CF13" s="234">
        <v>1136.2529999999999</v>
      </c>
      <c r="CG13" s="216">
        <f t="shared" si="24"/>
        <v>4.8400003407692012</v>
      </c>
      <c r="CH13" s="217">
        <f t="shared" si="6"/>
        <v>106.84318116354126</v>
      </c>
      <c r="CI13" s="218">
        <f>CE13/CE10*100</f>
        <v>19.295393443956868</v>
      </c>
      <c r="CJ13" s="215">
        <f t="shared" si="58"/>
        <v>601.08299999999997</v>
      </c>
      <c r="CK13" s="215">
        <f t="shared" si="59"/>
        <v>2909.2420000000002</v>
      </c>
      <c r="CL13" s="232">
        <f t="shared" si="46"/>
        <v>4.8400004658258515</v>
      </c>
      <c r="CM13" s="234"/>
      <c r="CN13" s="236">
        <f>CJ13/CJ10*100</f>
        <v>19.597878374298435</v>
      </c>
      <c r="CO13" s="237">
        <f t="shared" si="25"/>
        <v>966.52199999999993</v>
      </c>
      <c r="CP13" s="232">
        <f t="shared" si="26"/>
        <v>4677.9680000000008</v>
      </c>
      <c r="CQ13" s="232">
        <f t="shared" si="27"/>
        <v>4.8400015726491494</v>
      </c>
      <c r="CR13" s="234"/>
      <c r="CS13" s="234">
        <f>CO13/CO10*100</f>
        <v>10.634350712573301</v>
      </c>
      <c r="CT13" s="231">
        <f t="shared" si="52"/>
        <v>2308.0700000000002</v>
      </c>
      <c r="CU13" s="215">
        <f t="shared" si="52"/>
        <v>11117.4</v>
      </c>
      <c r="CV13" s="232">
        <f t="shared" si="29"/>
        <v>4.8167516583119223</v>
      </c>
      <c r="CW13" s="234"/>
      <c r="CX13" s="218">
        <f>CT13/CT10*100</f>
        <v>8.4837698789136642</v>
      </c>
      <c r="CY13" s="188"/>
    </row>
    <row r="14" spans="1:103" ht="107.25" customHeight="1" thickBot="1">
      <c r="B14" s="187" t="s">
        <v>84</v>
      </c>
      <c r="C14" s="187" t="s">
        <v>12</v>
      </c>
      <c r="D14" s="115">
        <v>374.70600000000002</v>
      </c>
      <c r="E14" s="215">
        <v>547.46699999999998</v>
      </c>
      <c r="F14" s="234">
        <v>1957.9870000000001</v>
      </c>
      <c r="G14" s="216">
        <f t="shared" si="7"/>
        <v>3.5764475301707686</v>
      </c>
      <c r="H14" s="217" t="e">
        <f t="shared" ref="H14" si="61">G14/#REF!*100</f>
        <v>#REF!</v>
      </c>
      <c r="I14" s="218">
        <f>E14/E10*100</f>
        <v>20.218558246806843</v>
      </c>
      <c r="J14" s="218">
        <v>48.884</v>
      </c>
      <c r="K14" s="238">
        <v>234.64400000000001</v>
      </c>
      <c r="L14" s="239">
        <f t="shared" si="9"/>
        <v>4.8000163652728913</v>
      </c>
      <c r="M14" s="238">
        <f t="shared" si="42"/>
        <v>134.21184918218833</v>
      </c>
      <c r="N14" s="240">
        <f>J14/J10*100</f>
        <v>1.74273267213781</v>
      </c>
      <c r="O14" s="215">
        <v>71.037000000000006</v>
      </c>
      <c r="P14" s="234">
        <v>340.97800000000001</v>
      </c>
      <c r="Q14" s="241">
        <f t="shared" si="54"/>
        <v>4.8000056308684202</v>
      </c>
      <c r="R14" s="234">
        <f>(Q14/L14)*100</f>
        <v>99.999776367335983</v>
      </c>
      <c r="S14" s="218">
        <f>O14/O10*100</f>
        <v>2.8519134401293691</v>
      </c>
      <c r="T14" s="215">
        <v>59.228000000000002</v>
      </c>
      <c r="U14" s="234">
        <v>284.29500000000002</v>
      </c>
      <c r="V14" s="232">
        <f t="shared" si="31"/>
        <v>4.8000101303437566</v>
      </c>
      <c r="W14" s="234">
        <f t="shared" si="10"/>
        <v>100.00009373895955</v>
      </c>
      <c r="X14" s="218">
        <f>T14/T10*100</f>
        <v>2.8118797027463156</v>
      </c>
      <c r="Y14" s="237">
        <f t="shared" si="11"/>
        <v>179.149</v>
      </c>
      <c r="Z14" s="232">
        <f t="shared" si="55"/>
        <v>859.91700000000003</v>
      </c>
      <c r="AA14" s="232">
        <f t="shared" si="33"/>
        <v>4.8000100475023588</v>
      </c>
      <c r="AB14" s="235">
        <f>Y14/Y10*100</f>
        <v>2.4202053896511901</v>
      </c>
      <c r="AC14" s="215">
        <v>78.022000000000006</v>
      </c>
      <c r="AD14" s="234">
        <v>374.50599999999997</v>
      </c>
      <c r="AE14" s="232">
        <f t="shared" si="12"/>
        <v>4.8000051267591184</v>
      </c>
      <c r="AF14" s="232">
        <f t="shared" si="1"/>
        <v>99.999897484730411</v>
      </c>
      <c r="AG14" s="218">
        <f>AC14/AC10*100</f>
        <v>3.3823300544098136</v>
      </c>
      <c r="AH14" s="215">
        <v>67.62</v>
      </c>
      <c r="AI14" s="234">
        <v>324.57600000000002</v>
      </c>
      <c r="AJ14" s="232">
        <f t="shared" si="13"/>
        <v>4.8</v>
      </c>
      <c r="AK14" s="232">
        <f t="shared" si="14"/>
        <v>99.999893192632442</v>
      </c>
      <c r="AL14" s="218">
        <f>AH14/AH10*100</f>
        <v>1.9746755598126362</v>
      </c>
      <c r="AM14" s="215">
        <v>67.753</v>
      </c>
      <c r="AN14" s="234">
        <v>325.21499999999997</v>
      </c>
      <c r="AO14" s="232">
        <f t="shared" si="15"/>
        <v>4.8000088556964267</v>
      </c>
      <c r="AP14" s="232">
        <f t="shared" si="16"/>
        <v>100.00018449367556</v>
      </c>
      <c r="AQ14" s="218">
        <f>AM14/AM10*100</f>
        <v>2.164714888521321</v>
      </c>
      <c r="AR14" s="237">
        <f t="shared" si="51"/>
        <v>213.39499999999998</v>
      </c>
      <c r="AS14" s="232">
        <f t="shared" si="49"/>
        <v>1024.297</v>
      </c>
      <c r="AT14" s="232">
        <f t="shared" si="17"/>
        <v>4.800004686145412</v>
      </c>
      <c r="AU14" s="236">
        <f>AR14/AR10*100</f>
        <v>2.4082512639101208</v>
      </c>
      <c r="AV14" s="237">
        <f t="shared" si="3"/>
        <v>392.54399999999998</v>
      </c>
      <c r="AW14" s="232">
        <f t="shared" si="4"/>
        <v>1884.2139999999999</v>
      </c>
      <c r="AX14" s="232">
        <f t="shared" si="18"/>
        <v>4.8000071329583438</v>
      </c>
      <c r="AY14" s="234"/>
      <c r="AZ14" s="218">
        <f>AV14/AV10*100</f>
        <v>2.4136921987820732</v>
      </c>
      <c r="BA14" s="231">
        <v>76.09</v>
      </c>
      <c r="BB14" s="234">
        <v>368.27600000000001</v>
      </c>
      <c r="BC14" s="232">
        <f>BB14/BA14</f>
        <v>4.8400052569325798</v>
      </c>
      <c r="BD14" s="233">
        <f t="shared" si="5"/>
        <v>100.8332568217804</v>
      </c>
      <c r="BE14" s="218">
        <f>BA14/BA10*100</f>
        <v>2.7914668940244121</v>
      </c>
      <c r="BF14" s="215">
        <v>70.06</v>
      </c>
      <c r="BG14" s="234">
        <v>339.09100000000001</v>
      </c>
      <c r="BH14" s="232">
        <f t="shared" si="34"/>
        <v>4.8400085640879249</v>
      </c>
      <c r="BI14" s="233">
        <f t="shared" si="35"/>
        <v>100.00006832958168</v>
      </c>
      <c r="BJ14" s="277">
        <f>BF14/BF10*100</f>
        <v>3.2816371650327185</v>
      </c>
      <c r="BK14" s="215">
        <v>61.058</v>
      </c>
      <c r="BL14" s="234">
        <v>295.52100000000002</v>
      </c>
      <c r="BM14" s="232">
        <f t="shared" si="36"/>
        <v>4.840004585803662</v>
      </c>
      <c r="BN14" s="233">
        <f t="shared" si="37"/>
        <v>99.999917804189593</v>
      </c>
      <c r="BO14" s="218">
        <f>BK14/BK10*100</f>
        <v>5.2596306250430702</v>
      </c>
      <c r="BP14" s="215">
        <f t="shared" si="56"/>
        <v>207.208</v>
      </c>
      <c r="BQ14" s="215">
        <f t="shared" si="57"/>
        <v>1002.8879999999999</v>
      </c>
      <c r="BR14" s="232">
        <f t="shared" si="20"/>
        <v>4.8400061773676688</v>
      </c>
      <c r="BS14" s="234"/>
      <c r="BT14" s="218">
        <f>BP14/BP10*100</f>
        <v>3.441080497416217</v>
      </c>
      <c r="BU14" s="215">
        <v>66.843999999999994</v>
      </c>
      <c r="BV14" s="234">
        <v>323.52499999999998</v>
      </c>
      <c r="BW14" s="232">
        <f t="shared" si="21"/>
        <v>4.8400005984082339</v>
      </c>
      <c r="BX14" s="233">
        <f t="shared" si="22"/>
        <v>99.999917615875006</v>
      </c>
      <c r="BY14" s="218">
        <f>BU14/BU10*100</f>
        <v>-32.856054461893876</v>
      </c>
      <c r="BZ14" s="215">
        <v>68.319000000000003</v>
      </c>
      <c r="CA14" s="234">
        <v>330.66399999999999</v>
      </c>
      <c r="CB14" s="232">
        <f t="shared" si="23"/>
        <v>4.8400005854886627</v>
      </c>
      <c r="CC14" s="233">
        <f t="shared" si="45"/>
        <v>99.999999733066744</v>
      </c>
      <c r="CD14" s="218">
        <f>BZ14/BZ10*100</f>
        <v>3.3263902684132423</v>
      </c>
      <c r="CE14" s="215">
        <v>89.042000000000002</v>
      </c>
      <c r="CF14" s="234">
        <v>430.96300000000002</v>
      </c>
      <c r="CG14" s="216">
        <f t="shared" si="24"/>
        <v>4.8399968554165449</v>
      </c>
      <c r="CH14" s="217">
        <f t="shared" si="6"/>
        <v>135.32973193613284</v>
      </c>
      <c r="CI14" s="218">
        <f>CE14/CE10*100</f>
        <v>7.318446360954697</v>
      </c>
      <c r="CJ14" s="215">
        <f t="shared" si="58"/>
        <v>224.20500000000001</v>
      </c>
      <c r="CK14" s="215">
        <f t="shared" si="59"/>
        <v>1085.152</v>
      </c>
      <c r="CL14" s="232">
        <f t="shared" si="46"/>
        <v>4.8399991079592333</v>
      </c>
      <c r="CM14" s="234"/>
      <c r="CN14" s="236">
        <f>CJ14/CJ10*100</f>
        <v>7.3100425746686915</v>
      </c>
      <c r="CO14" s="237">
        <f t="shared" si="25"/>
        <v>431.41300000000001</v>
      </c>
      <c r="CP14" s="232">
        <f t="shared" si="26"/>
        <v>2088.04</v>
      </c>
      <c r="CQ14" s="232">
        <f t="shared" si="27"/>
        <v>4.840002503401613</v>
      </c>
      <c r="CR14" s="234"/>
      <c r="CS14" s="234">
        <f>CO14/CO10*100</f>
        <v>4.7467074147959236</v>
      </c>
      <c r="CT14" s="231">
        <f t="shared" si="52"/>
        <v>823.95699999999999</v>
      </c>
      <c r="CU14" s="215">
        <f t="shared" si="52"/>
        <v>3972.2539999999999</v>
      </c>
      <c r="CV14" s="232">
        <f t="shared" si="29"/>
        <v>4.8209481805482568</v>
      </c>
      <c r="CW14" s="234"/>
      <c r="CX14" s="218">
        <f>CT14/CT10*100</f>
        <v>3.0286176667605682</v>
      </c>
      <c r="CY14" s="188"/>
    </row>
    <row r="15" spans="1:103" ht="99.75" customHeight="1" thickBot="1">
      <c r="B15" s="187" t="s">
        <v>85</v>
      </c>
      <c r="C15" s="187" t="s">
        <v>6</v>
      </c>
      <c r="D15" s="115">
        <v>439.62900000000002</v>
      </c>
      <c r="E15" s="215">
        <v>375.65800000000002</v>
      </c>
      <c r="F15" s="234">
        <v>1701.7311</v>
      </c>
      <c r="G15" s="216">
        <f t="shared" si="7"/>
        <v>4.5300009583184702</v>
      </c>
      <c r="H15" s="217" t="e">
        <f t="shared" ref="H15" si="62">G15/#REF!*100</f>
        <v>#REF!</v>
      </c>
      <c r="I15" s="218">
        <f>E15/E10*100</f>
        <v>13.873462973802924</v>
      </c>
      <c r="J15" s="218">
        <v>432.25</v>
      </c>
      <c r="K15" s="238">
        <v>2074.8000000000002</v>
      </c>
      <c r="L15" s="239">
        <f t="shared" si="9"/>
        <v>4.8000000000000007</v>
      </c>
      <c r="M15" s="238">
        <f>L15/G15*100</f>
        <v>105.96024248484383</v>
      </c>
      <c r="N15" s="240">
        <f>J15/J10*100</f>
        <v>15.409872300375755</v>
      </c>
      <c r="O15" s="215">
        <v>391.27300000000002</v>
      </c>
      <c r="P15" s="234">
        <v>1878.11</v>
      </c>
      <c r="Q15" s="241">
        <f t="shared" si="54"/>
        <v>4.7999989776958794</v>
      </c>
      <c r="R15" s="234">
        <f t="shared" si="43"/>
        <v>99.999978701997478</v>
      </c>
      <c r="S15" s="218">
        <f>O15/O10*100</f>
        <v>15.708387565068044</v>
      </c>
      <c r="T15" s="215">
        <v>320.47500000000002</v>
      </c>
      <c r="U15" s="234">
        <v>1538.28</v>
      </c>
      <c r="V15" s="232">
        <f t="shared" si="31"/>
        <v>4.8</v>
      </c>
      <c r="W15" s="234">
        <f t="shared" si="10"/>
        <v>100.00002129800704</v>
      </c>
      <c r="X15" s="218">
        <f>T15/T10*100</f>
        <v>15.214715130303668</v>
      </c>
      <c r="Y15" s="237">
        <f t="shared" si="11"/>
        <v>1143.998</v>
      </c>
      <c r="Z15" s="232">
        <f t="shared" si="55"/>
        <v>5491.1900000000005</v>
      </c>
      <c r="AA15" s="232">
        <f t="shared" si="33"/>
        <v>4.7999996503490392</v>
      </c>
      <c r="AB15" s="235">
        <f>Y15/Y10*100</f>
        <v>15.454789730058119</v>
      </c>
      <c r="AC15" s="215">
        <v>255.46899999999999</v>
      </c>
      <c r="AD15" s="234">
        <v>1226.251</v>
      </c>
      <c r="AE15" s="232">
        <f t="shared" si="12"/>
        <v>4.7999992171261487</v>
      </c>
      <c r="AF15" s="232">
        <f t="shared" si="1"/>
        <v>99.999990974522461</v>
      </c>
      <c r="AG15" s="218">
        <f>-AC15/AC10*100</f>
        <v>-11.074831158775993</v>
      </c>
      <c r="AH15" s="215">
        <v>300.548</v>
      </c>
      <c r="AI15" s="234">
        <v>1442.6310000000001</v>
      </c>
      <c r="AJ15" s="232">
        <f t="shared" si="13"/>
        <v>4.8000019963533278</v>
      </c>
      <c r="AK15" s="232">
        <f t="shared" si="14"/>
        <v>100.00005790057567</v>
      </c>
      <c r="AL15" s="218">
        <f>AH15/AH10*100</f>
        <v>8.7767641252672011</v>
      </c>
      <c r="AM15" s="215">
        <v>298.863</v>
      </c>
      <c r="AN15" s="234">
        <v>1434.5429999999999</v>
      </c>
      <c r="AO15" s="232">
        <f t="shared" si="15"/>
        <v>4.8000020076088372</v>
      </c>
      <c r="AP15" s="232">
        <f t="shared" si="16"/>
        <v>100.00000023448968</v>
      </c>
      <c r="AQ15" s="218">
        <f>AM15/AM10*100</f>
        <v>9.5487016918534611</v>
      </c>
      <c r="AR15" s="237">
        <f t="shared" si="51"/>
        <v>854.88000000000011</v>
      </c>
      <c r="AS15" s="232">
        <f t="shared" si="49"/>
        <v>4103.4250000000002</v>
      </c>
      <c r="AT15" s="232">
        <f t="shared" si="17"/>
        <v>4.8000011697548191</v>
      </c>
      <c r="AU15" s="236">
        <f>AR15/AR10*100</f>
        <v>9.6476760959323524</v>
      </c>
      <c r="AV15" s="237">
        <f t="shared" si="3"/>
        <v>1998.8780000000002</v>
      </c>
      <c r="AW15" s="232">
        <f t="shared" si="4"/>
        <v>9594.6150000000016</v>
      </c>
      <c r="AX15" s="232">
        <f t="shared" si="18"/>
        <v>4.8000003001683949</v>
      </c>
      <c r="AY15" s="234"/>
      <c r="AZ15" s="218">
        <f>AV15/AV10*100</f>
        <v>12.290790930232316</v>
      </c>
      <c r="BA15" s="231">
        <v>242.46700000000001</v>
      </c>
      <c r="BB15" s="234">
        <v>1173.5409999999999</v>
      </c>
      <c r="BC15" s="232">
        <f>BB15/BA15</f>
        <v>4.8400029694762585</v>
      </c>
      <c r="BD15" s="233">
        <f t="shared" si="5"/>
        <v>100.8333530236865</v>
      </c>
      <c r="BE15" s="218">
        <f>BA15/BA10*100</f>
        <v>8.8952372636800785</v>
      </c>
      <c r="BF15" s="215">
        <v>71.975999999999999</v>
      </c>
      <c r="BG15" s="234">
        <v>348.36399999999998</v>
      </c>
      <c r="BH15" s="232">
        <f>BG15/BF15</f>
        <v>4.8400022229632098</v>
      </c>
      <c r="BI15" s="233">
        <f t="shared" si="35"/>
        <v>99.999984576186137</v>
      </c>
      <c r="BJ15" s="277">
        <f>BF15/BF10*100</f>
        <v>3.3713833370024968</v>
      </c>
      <c r="BK15" s="215">
        <v>245.958</v>
      </c>
      <c r="BL15" s="234">
        <v>1190.4369999999999</v>
      </c>
      <c r="BM15" s="232">
        <f t="shared" si="36"/>
        <v>4.8400011384057438</v>
      </c>
      <c r="BN15" s="233">
        <f t="shared" si="37"/>
        <v>99.999977591798185</v>
      </c>
      <c r="BO15" s="218">
        <f>BK15/BK10*100</f>
        <v>21.187202811660118</v>
      </c>
      <c r="BP15" s="215">
        <f>BA15+BF15+BK15</f>
        <v>560.40099999999995</v>
      </c>
      <c r="BQ15" s="215">
        <f t="shared" si="57"/>
        <v>2712.3419999999996</v>
      </c>
      <c r="BR15" s="232">
        <f t="shared" si="20"/>
        <v>4.8400020699463422</v>
      </c>
      <c r="BS15" s="234"/>
      <c r="BT15" s="218">
        <f>BP15/BP10*100</f>
        <v>9.3065178556452715</v>
      </c>
      <c r="BU15" s="215">
        <v>278.45600000000002</v>
      </c>
      <c r="BV15" s="234">
        <v>1347.7270000000001</v>
      </c>
      <c r="BW15" s="232">
        <f t="shared" si="21"/>
        <v>4.839999856350734</v>
      </c>
      <c r="BX15" s="233">
        <f t="shared" si="22"/>
        <v>99.999973511266361</v>
      </c>
      <c r="BY15" s="218">
        <f>BU15/BU10*100</f>
        <v>-136.87040723537075</v>
      </c>
      <c r="BZ15" s="215">
        <v>466.834</v>
      </c>
      <c r="CA15" s="234">
        <v>2259.4769999999999</v>
      </c>
      <c r="CB15" s="232">
        <f t="shared" si="23"/>
        <v>4.8400009425191817</v>
      </c>
      <c r="CC15" s="233">
        <f t="shared" si="45"/>
        <v>100.00002244149752</v>
      </c>
      <c r="CD15" s="218">
        <f>BZ15/BZ10*100</f>
        <v>22.729724887138676</v>
      </c>
      <c r="CE15" s="215">
        <v>410.10700000000003</v>
      </c>
      <c r="CF15" s="234">
        <v>1984.9179999999999</v>
      </c>
      <c r="CG15" s="216">
        <f t="shared" si="24"/>
        <v>4.8400002926065628</v>
      </c>
      <c r="CH15" s="217">
        <f t="shared" si="6"/>
        <v>106.84325096485551</v>
      </c>
      <c r="CI15" s="218">
        <f>CE15/CE10*100</f>
        <v>33.707082969295925</v>
      </c>
      <c r="CJ15" s="215">
        <f t="shared" si="58"/>
        <v>1155.3969999999999</v>
      </c>
      <c r="CK15" s="215">
        <f t="shared" si="59"/>
        <v>5592.1219999999994</v>
      </c>
      <c r="CL15" s="232">
        <f t="shared" si="46"/>
        <v>4.8400004500617531</v>
      </c>
      <c r="CM15" s="234"/>
      <c r="CN15" s="236">
        <f>CJ15/CJ10*100</f>
        <v>37.67088718201861</v>
      </c>
      <c r="CO15" s="237">
        <f t="shared" si="25"/>
        <v>1715.7979999999998</v>
      </c>
      <c r="CP15" s="232">
        <f t="shared" si="26"/>
        <v>8304.4639999999999</v>
      </c>
      <c r="CQ15" s="232">
        <f t="shared" si="27"/>
        <v>4.8400009791362395</v>
      </c>
      <c r="CR15" s="234"/>
      <c r="CS15" s="234">
        <f>CO15/CO10*100</f>
        <v>18.878409062527126</v>
      </c>
      <c r="CT15" s="231">
        <f t="shared" si="52"/>
        <v>3714.6759999999999</v>
      </c>
      <c r="CU15" s="215">
        <f t="shared" si="52"/>
        <v>17899.079000000002</v>
      </c>
      <c r="CV15" s="232">
        <f t="shared" si="29"/>
        <v>4.818476497008084</v>
      </c>
      <c r="CW15" s="234"/>
      <c r="CX15" s="218">
        <f>CT15/CT10*100</f>
        <v>13.654029712583887</v>
      </c>
      <c r="CY15" s="188"/>
    </row>
    <row r="16" spans="1:103" ht="166.5" customHeight="1" thickBot="1">
      <c r="B16" s="254"/>
      <c r="C16" s="295" t="s">
        <v>135</v>
      </c>
      <c r="D16" s="255"/>
      <c r="E16" s="256"/>
      <c r="F16" s="257"/>
      <c r="G16" s="296"/>
      <c r="H16" s="297"/>
      <c r="I16" s="258"/>
      <c r="J16" s="258">
        <v>662.83</v>
      </c>
      <c r="K16" s="259">
        <v>3075.9430000000002</v>
      </c>
      <c r="L16" s="298">
        <f t="shared" si="9"/>
        <v>4.6406212754401581</v>
      </c>
      <c r="M16" s="299"/>
      <c r="N16" s="300">
        <f>J16/J10*100</f>
        <v>23.630134544495228</v>
      </c>
      <c r="O16" s="256">
        <v>614.32399999999996</v>
      </c>
      <c r="P16" s="260">
        <v>2868.9789999999998</v>
      </c>
      <c r="Q16" s="261">
        <f t="shared" si="54"/>
        <v>4.6701398610505205</v>
      </c>
      <c r="R16" s="260">
        <f t="shared" si="43"/>
        <v>100.63609124421735</v>
      </c>
      <c r="S16" s="258">
        <f>O16/O10*100</f>
        <v>24.663187806270457</v>
      </c>
      <c r="T16" s="256">
        <v>569.322</v>
      </c>
      <c r="U16" s="260">
        <v>2653.6120000000001</v>
      </c>
      <c r="V16" s="262">
        <f t="shared" si="31"/>
        <v>4.6610037904735808</v>
      </c>
      <c r="W16" s="260">
        <f t="shared" si="10"/>
        <v>99.804372655878353</v>
      </c>
      <c r="X16" s="258">
        <f>T16/T10*100</f>
        <v>27.02885419272874</v>
      </c>
      <c r="Y16" s="263">
        <f t="shared" si="11"/>
        <v>1846.4760000000001</v>
      </c>
      <c r="Z16" s="262">
        <f t="shared" si="55"/>
        <v>8598.5339999999997</v>
      </c>
      <c r="AA16" s="262">
        <f t="shared" si="33"/>
        <v>4.6567266511993655</v>
      </c>
      <c r="AB16" s="264">
        <f>Y16/Y10*100</f>
        <v>24.9448848001472</v>
      </c>
      <c r="AC16" s="256">
        <v>517.18700000000001</v>
      </c>
      <c r="AD16" s="260">
        <v>2414.4009999999998</v>
      </c>
      <c r="AE16" s="262">
        <f t="shared" si="12"/>
        <v>4.6683327307144218</v>
      </c>
      <c r="AF16" s="262">
        <f t="shared" si="1"/>
        <v>100.24923257009443</v>
      </c>
      <c r="AG16" s="258">
        <f>AC16/AC10*100</f>
        <v>22.420562582990026</v>
      </c>
      <c r="AH16" s="256">
        <v>512.93399999999997</v>
      </c>
      <c r="AI16" s="260">
        <v>2407.6039999999998</v>
      </c>
      <c r="AJ16" s="262">
        <f t="shared" si="13"/>
        <v>4.6937890644800309</v>
      </c>
      <c r="AK16" s="262">
        <f t="shared" si="14"/>
        <v>100.54529818746903</v>
      </c>
      <c r="AL16" s="258">
        <f>AH16/AH10*100</f>
        <v>14.978974173276171</v>
      </c>
      <c r="AM16" s="256">
        <v>722.48900000000003</v>
      </c>
      <c r="AN16" s="260">
        <v>3395.931</v>
      </c>
      <c r="AO16" s="262">
        <f t="shared" si="15"/>
        <v>4.7003220810282231</v>
      </c>
      <c r="AP16" s="262">
        <f t="shared" si="16"/>
        <v>100.13918428072601</v>
      </c>
      <c r="AQ16" s="258">
        <f>AM16/AM10*100</f>
        <v>23.083593273993486</v>
      </c>
      <c r="AR16" s="263">
        <f t="shared" si="51"/>
        <v>1752.6100000000001</v>
      </c>
      <c r="AS16" s="262">
        <f t="shared" si="49"/>
        <v>8217.9359999999997</v>
      </c>
      <c r="AT16" s="262">
        <f t="shared" si="17"/>
        <v>4.6889701644975199</v>
      </c>
      <c r="AU16" s="265">
        <f>AR16/AR10*100</f>
        <v>19.77893225071589</v>
      </c>
      <c r="AV16" s="263">
        <f t="shared" si="3"/>
        <v>3599.0860000000002</v>
      </c>
      <c r="AW16" s="262">
        <f t="shared" si="4"/>
        <v>16816.47</v>
      </c>
      <c r="AX16" s="262">
        <f t="shared" si="18"/>
        <v>4.6724279442058343</v>
      </c>
      <c r="AY16" s="260"/>
      <c r="AZ16" s="258">
        <f>AV16/AV10*100</f>
        <v>22.130221837413842</v>
      </c>
      <c r="BA16" s="257">
        <v>595.80100000000004</v>
      </c>
      <c r="BB16" s="257">
        <v>2820.3470000000002</v>
      </c>
      <c r="BC16" s="262">
        <f>BB16/BA16</f>
        <v>4.7337063885424833</v>
      </c>
      <c r="BD16" s="301">
        <f t="shared" si="5"/>
        <v>100.71025574287789</v>
      </c>
      <c r="BE16" s="258">
        <f>BA16/BA11*100</f>
        <v>384.71040227287403</v>
      </c>
      <c r="BF16" s="256">
        <v>619.24300000000005</v>
      </c>
      <c r="BG16" s="260">
        <v>2916.0250000000001</v>
      </c>
      <c r="BH16" s="262">
        <f>BG16/BF16</f>
        <v>4.7090156852802529</v>
      </c>
      <c r="BI16" s="301">
        <f>BH16/BC16*100</f>
        <v>99.478406533155677</v>
      </c>
      <c r="BJ16" s="302">
        <f>BF16/BF11*100</f>
        <v>441.4713263181909</v>
      </c>
      <c r="BK16" s="256">
        <v>548.44399999999996</v>
      </c>
      <c r="BL16" s="257">
        <v>2585.201</v>
      </c>
      <c r="BM16" s="262">
        <f t="shared" si="36"/>
        <v>4.7137009430315588</v>
      </c>
      <c r="BN16" s="301">
        <f t="shared" si="37"/>
        <v>100.09949547982929</v>
      </c>
      <c r="BO16" s="258">
        <f>BK16/BK11*100</f>
        <v>327.74036249335188</v>
      </c>
      <c r="BP16" s="256">
        <f t="shared" si="56"/>
        <v>1763.4880000000001</v>
      </c>
      <c r="BQ16" s="256">
        <f t="shared" si="57"/>
        <v>8321.5730000000003</v>
      </c>
      <c r="BR16" s="262">
        <f t="shared" si="20"/>
        <v>4.7188146446134027</v>
      </c>
      <c r="BS16" s="260"/>
      <c r="BT16" s="258">
        <f>BP16/BP10*100</f>
        <v>29.286051524205291</v>
      </c>
      <c r="BU16" s="256">
        <v>554.16499999999996</v>
      </c>
      <c r="BV16" s="257">
        <v>2615.2339999999999</v>
      </c>
      <c r="BW16" s="262">
        <f t="shared" si="21"/>
        <v>4.719233441303583</v>
      </c>
      <c r="BX16" s="301">
        <f t="shared" si="22"/>
        <v>100.11737058287933</v>
      </c>
      <c r="BY16" s="258">
        <f>BU16/BU10*100</f>
        <v>-272.39057239057234</v>
      </c>
      <c r="BZ16" s="256">
        <v>630.33000000000004</v>
      </c>
      <c r="CA16" s="257">
        <v>2963.4059999999999</v>
      </c>
      <c r="CB16" s="262">
        <f t="shared" si="23"/>
        <v>4.7013564323449621</v>
      </c>
      <c r="CC16" s="301">
        <f t="shared" si="45"/>
        <v>99.621188288713199</v>
      </c>
      <c r="CD16" s="258">
        <f>BZ16/BZ10*100</f>
        <v>30.690197132407075</v>
      </c>
      <c r="CE16" s="256">
        <v>669.32100000000003</v>
      </c>
      <c r="CF16" s="257">
        <v>3167.1990000000001</v>
      </c>
      <c r="CG16" s="296">
        <f t="shared" si="24"/>
        <v>4.7319582083932819</v>
      </c>
      <c r="CH16" s="297" t="e">
        <f t="shared" si="6"/>
        <v>#DIV/0!</v>
      </c>
      <c r="CI16" s="258">
        <f>CE16/CE10*100</f>
        <v>55.012127274326261</v>
      </c>
      <c r="CJ16" s="256">
        <f t="shared" si="58"/>
        <v>1853.8159999999998</v>
      </c>
      <c r="CK16" s="256">
        <f t="shared" si="59"/>
        <v>8745.8389999999999</v>
      </c>
      <c r="CL16" s="262">
        <f t="shared" si="46"/>
        <v>4.7177492264604473</v>
      </c>
      <c r="CM16" s="260"/>
      <c r="CN16" s="265"/>
      <c r="CO16" s="263">
        <f t="shared" si="25"/>
        <v>3617.3040000000001</v>
      </c>
      <c r="CP16" s="262">
        <f t="shared" si="26"/>
        <v>17067.412</v>
      </c>
      <c r="CQ16" s="262">
        <f t="shared" si="27"/>
        <v>4.7182686332141284</v>
      </c>
      <c r="CR16" s="260"/>
      <c r="CS16" s="260"/>
      <c r="CT16" s="257">
        <f t="shared" si="52"/>
        <v>7216.39</v>
      </c>
      <c r="CU16" s="256">
        <f t="shared" si="52"/>
        <v>33883.881999999998</v>
      </c>
      <c r="CV16" s="262">
        <f t="shared" si="29"/>
        <v>4.6954061518293768</v>
      </c>
      <c r="CW16" s="260"/>
      <c r="CX16" s="258">
        <f>CT16/CT10*100</f>
        <v>26.525275280426406</v>
      </c>
      <c r="CY16" s="188"/>
    </row>
    <row r="17" spans="1:102" s="188" customFormat="1" ht="39.75" customHeight="1" thickBot="1">
      <c r="A17" s="188" t="s">
        <v>107</v>
      </c>
      <c r="B17" s="294" t="s">
        <v>82</v>
      </c>
      <c r="C17" s="303" t="s">
        <v>88</v>
      </c>
      <c r="D17" s="304">
        <f>D5+D10</f>
        <v>79516.02</v>
      </c>
      <c r="E17" s="292">
        <f>E5+E10</f>
        <v>82687.087</v>
      </c>
      <c r="F17" s="292">
        <f>F5+F10</f>
        <v>332260.29600000003</v>
      </c>
      <c r="G17" s="288">
        <f t="shared" si="7"/>
        <v>4.0182851767410801</v>
      </c>
      <c r="H17" s="289" t="e">
        <f t="shared" ref="H17" si="63">G17/#REF!*100</f>
        <v>#REF!</v>
      </c>
      <c r="I17" s="292">
        <f>SUM(I11:I15)</f>
        <v>100</v>
      </c>
      <c r="J17" s="292">
        <f>J5+K10</f>
        <v>87621.468999999983</v>
      </c>
      <c r="K17" s="305">
        <f>K5+K10</f>
        <v>332239.261</v>
      </c>
      <c r="L17" s="306">
        <f>K17/J17</f>
        <v>3.7917563445552376</v>
      </c>
      <c r="M17" s="307">
        <f>L17/G17*100</f>
        <v>94.362549639407064</v>
      </c>
      <c r="N17" s="305">
        <f>SUM(N11:N15)</f>
        <v>76.36986545550478</v>
      </c>
      <c r="O17" s="308">
        <f>SUM(O5+O10)</f>
        <v>82202.406000000003</v>
      </c>
      <c r="P17" s="308">
        <f>P5+P10</f>
        <v>339887.53500000003</v>
      </c>
      <c r="Q17" s="309">
        <f>P17/O17</f>
        <v>4.1347638291755109</v>
      </c>
      <c r="R17" s="308">
        <f t="shared" si="43"/>
        <v>109.04613728972363</v>
      </c>
      <c r="S17" s="308">
        <f>SUM(S6:S10)</f>
        <v>99.999999999999986</v>
      </c>
      <c r="T17" s="308">
        <f>SUM(T6:T10)</f>
        <v>71078.767999999996</v>
      </c>
      <c r="U17" s="308">
        <f>SUM(U6:U10)</f>
        <v>293850.56</v>
      </c>
      <c r="V17" s="290">
        <f t="shared" si="31"/>
        <v>4.1341538165095946</v>
      </c>
      <c r="W17" s="308">
        <f t="shared" si="10"/>
        <v>99.985246734974027</v>
      </c>
      <c r="X17" s="308">
        <f>SUM(X6:X10)</f>
        <v>100.00000000000001</v>
      </c>
      <c r="Y17" s="290">
        <f>(T17+O17+J17)</f>
        <v>240902.64299999998</v>
      </c>
      <c r="Z17" s="290">
        <f>Z5+Z10</f>
        <v>965977.35600000003</v>
      </c>
      <c r="AA17" s="290">
        <f t="shared" si="33"/>
        <v>4.0098246493709082</v>
      </c>
      <c r="AB17" s="290">
        <v>100</v>
      </c>
      <c r="AC17" s="290">
        <f>SUM(AC10+AC5)</f>
        <v>73779.790999999997</v>
      </c>
      <c r="AD17" s="308">
        <f>SUM(AD6:AD10)</f>
        <v>307891.40100000001</v>
      </c>
      <c r="AE17" s="290">
        <f t="shared" si="12"/>
        <v>4.1731129463351291</v>
      </c>
      <c r="AF17" s="290">
        <f t="shared" si="1"/>
        <v>104.07220542648514</v>
      </c>
      <c r="AG17" s="308">
        <f>SUM(AG6:AG10)</f>
        <v>100</v>
      </c>
      <c r="AH17" s="308">
        <f>SUM(AH10+AH5)</f>
        <v>68022.83</v>
      </c>
      <c r="AI17" s="308">
        <f>SUM(AI10+AI5)</f>
        <v>286375.60600000003</v>
      </c>
      <c r="AJ17" s="290">
        <f t="shared" si="13"/>
        <v>4.2099925275087795</v>
      </c>
      <c r="AK17" s="290">
        <f t="shared" si="14"/>
        <v>100.88374270353833</v>
      </c>
      <c r="AL17" s="308">
        <f>SUM(AL6:AL10)</f>
        <v>100</v>
      </c>
      <c r="AM17" s="308">
        <f>SUM(AM5+AM10)</f>
        <v>78369.176999999996</v>
      </c>
      <c r="AN17" s="308">
        <f>SUM(AN5+AN10)</f>
        <v>334182.228</v>
      </c>
      <c r="AO17" s="290">
        <f t="shared" si="15"/>
        <v>4.2642048926965259</v>
      </c>
      <c r="AP17" s="290">
        <f t="shared" si="16"/>
        <v>101.28770692188915</v>
      </c>
      <c r="AQ17" s="308">
        <f>SUM(AQ11:AQ15)+AQ16</f>
        <v>100</v>
      </c>
      <c r="AR17" s="290">
        <f t="shared" si="51"/>
        <v>220171.79799999998</v>
      </c>
      <c r="AS17" s="290">
        <f t="shared" si="49"/>
        <v>928449.2350000001</v>
      </c>
      <c r="AT17" s="290">
        <f t="shared" si="17"/>
        <v>4.2169307941973573</v>
      </c>
      <c r="AU17" s="308">
        <f>SUM(AU11:AU15)</f>
        <v>80.221067749284103</v>
      </c>
      <c r="AV17" s="290">
        <f t="shared" si="3"/>
        <v>461074.44099999999</v>
      </c>
      <c r="AW17" s="290">
        <f t="shared" si="4"/>
        <v>1894426.591</v>
      </c>
      <c r="AX17" s="290">
        <f t="shared" si="18"/>
        <v>4.1087217649524845</v>
      </c>
      <c r="AY17" s="308"/>
      <c r="AZ17" s="308">
        <f>SUM(AZ11:AZ15)+AZ16</f>
        <v>100.00000000000001</v>
      </c>
      <c r="BA17" s="308">
        <f>BA5+BA10</f>
        <v>82607.634999999995</v>
      </c>
      <c r="BB17" s="308">
        <f>BB5+BB10</f>
        <v>355283.08199999999</v>
      </c>
      <c r="BC17" s="290">
        <f t="shared" si="19"/>
        <v>4.3008504238137313</v>
      </c>
      <c r="BD17" s="291">
        <f t="shared" si="5"/>
        <v>100.85937547653889</v>
      </c>
      <c r="BE17" s="308">
        <f>SUM(BE11:BE15)</f>
        <v>78.142216231743475</v>
      </c>
      <c r="BF17" s="308">
        <f>BF10+BF5</f>
        <v>76724.433000000005</v>
      </c>
      <c r="BG17" s="308">
        <f>BG5+BG10</f>
        <v>330079.58500000002</v>
      </c>
      <c r="BH17" s="290">
        <f t="shared" si="34"/>
        <v>4.3021443377756858</v>
      </c>
      <c r="BI17" s="291">
        <f t="shared" si="35"/>
        <v>100.03008507235663</v>
      </c>
      <c r="BJ17" s="310">
        <f>SUM(BJ11:BJ15)</f>
        <v>70.994421310500215</v>
      </c>
      <c r="BK17" s="308">
        <f>BK5+BK10</f>
        <v>67819.382000000012</v>
      </c>
      <c r="BL17" s="308">
        <f>BL5+BL10</f>
        <v>290351.39300000004</v>
      </c>
      <c r="BM17" s="290">
        <f t="shared" si="36"/>
        <v>4.2812450428993882</v>
      </c>
      <c r="BN17" s="291">
        <f t="shared" si="37"/>
        <v>99.514212140843625</v>
      </c>
      <c r="BO17" s="308">
        <f>SUM(BO11:BO15)</f>
        <v>52.75618496313141</v>
      </c>
      <c r="BP17" s="308">
        <f>BP5+BP10</f>
        <v>227151.45000000004</v>
      </c>
      <c r="BQ17" s="308">
        <f>BQ5+BQ10</f>
        <v>975714.05999999994</v>
      </c>
      <c r="BR17" s="290">
        <f t="shared" si="20"/>
        <v>4.2954339934876042</v>
      </c>
      <c r="BS17" s="308"/>
      <c r="BT17" s="308">
        <f>SUM(BT11:BT15)</f>
        <v>70.713948475794709</v>
      </c>
      <c r="BU17" s="292">
        <f>BU5+BU10</f>
        <v>66220.98599999999</v>
      </c>
      <c r="BV17" s="292">
        <f>BV5+BV10</f>
        <v>237072.48399999997</v>
      </c>
      <c r="BW17" s="131">
        <f t="shared" si="21"/>
        <v>3.5800204485025335</v>
      </c>
      <c r="BX17" s="132">
        <f t="shared" si="22"/>
        <v>83.621012407129953</v>
      </c>
      <c r="BY17" s="292">
        <f>SUM(BY11:BY15)</f>
        <v>99.999999999999972</v>
      </c>
      <c r="BZ17" s="292">
        <f>BZ5+BZ10</f>
        <v>71548.572</v>
      </c>
      <c r="CA17" s="292">
        <f>CA5+CA10</f>
        <v>296900.12199999997</v>
      </c>
      <c r="CB17" s="131">
        <f t="shared" si="23"/>
        <v>4.1496302959058351</v>
      </c>
      <c r="CC17" s="132">
        <f t="shared" si="45"/>
        <v>115.91079871182191</v>
      </c>
      <c r="CD17" s="292">
        <f>SUM(CD11:CD15)</f>
        <v>100</v>
      </c>
      <c r="CE17" s="292">
        <f>CE5+CE10</f>
        <v>67923.316000000006</v>
      </c>
      <c r="CF17" s="292">
        <f>CF5+CF10</f>
        <v>281648.842</v>
      </c>
      <c r="CG17" s="288">
        <f t="shared" si="24"/>
        <v>4.1465708476305831</v>
      </c>
      <c r="CH17" s="289">
        <f t="shared" si="6"/>
        <v>103.19254769751174</v>
      </c>
      <c r="CI17" s="292">
        <f>SUM(CI11:CI15)</f>
        <v>99.999999999999986</v>
      </c>
      <c r="CJ17" s="292">
        <f>CJ5+CJ10</f>
        <v>205692.87399999998</v>
      </c>
      <c r="CK17" s="292">
        <f>CK5+CK10</f>
        <v>815621.44799999997</v>
      </c>
      <c r="CL17" s="131">
        <f t="shared" si="46"/>
        <v>3.9652392041544426</v>
      </c>
      <c r="CM17" s="292"/>
      <c r="CN17" s="292">
        <f>SUM(CN11:CN15)</f>
        <v>100</v>
      </c>
      <c r="CO17" s="131">
        <f t="shared" si="25"/>
        <v>432844.32400000002</v>
      </c>
      <c r="CP17" s="131">
        <f t="shared" si="26"/>
        <v>1791335.5079999999</v>
      </c>
      <c r="CQ17" s="131">
        <f t="shared" si="27"/>
        <v>4.1385214236978181</v>
      </c>
      <c r="CR17" s="292"/>
      <c r="CS17" s="292">
        <v>100</v>
      </c>
      <c r="CT17" s="292">
        <f>CT5+CT10</f>
        <v>888295.08700000006</v>
      </c>
      <c r="CU17" s="292">
        <f>CU5+CU10</f>
        <v>3711324.4080000003</v>
      </c>
      <c r="CV17" s="131">
        <f t="shared" si="29"/>
        <v>4.1780309970351102</v>
      </c>
      <c r="CW17" s="292"/>
      <c r="CX17" s="292">
        <f>SUM(CX11:CX16)</f>
        <v>100</v>
      </c>
    </row>
    <row r="18" spans="1:102" s="293" customFormat="1" ht="28.5" customHeight="1">
      <c r="C18" s="389" t="s">
        <v>134</v>
      </c>
      <c r="D18" s="389"/>
      <c r="E18" s="389"/>
      <c r="F18" s="389"/>
      <c r="G18" s="389"/>
      <c r="H18" s="389"/>
      <c r="I18" s="389"/>
      <c r="J18" s="311">
        <f>J17-J16</f>
        <v>86958.638999999981</v>
      </c>
      <c r="K18" s="311">
        <f>K17-K16</f>
        <v>329163.31799999997</v>
      </c>
      <c r="L18" s="311"/>
      <c r="M18" s="311"/>
      <c r="N18" s="311"/>
      <c r="O18" s="312">
        <f>O17-O16</f>
        <v>81588.082000000009</v>
      </c>
      <c r="P18" s="312">
        <f>P17-P16</f>
        <v>337018.55600000004</v>
      </c>
      <c r="Q18" s="311"/>
      <c r="R18" s="311"/>
      <c r="S18" s="311"/>
      <c r="T18" s="312">
        <f>T17-T16</f>
        <v>70509.445999999996</v>
      </c>
      <c r="U18" s="312">
        <f>U17-U16</f>
        <v>291196.94799999997</v>
      </c>
      <c r="V18" s="311"/>
      <c r="W18" s="311"/>
      <c r="X18" s="311"/>
      <c r="Y18" s="312">
        <f>Y17-Y16</f>
        <v>239056.16699999999</v>
      </c>
      <c r="Z18" s="312">
        <f>Z17-Z16</f>
        <v>957378.82200000004</v>
      </c>
      <c r="AA18" s="311"/>
      <c r="AB18" s="311"/>
      <c r="AC18" s="312">
        <f>AC17-AC16</f>
        <v>73262.603999999992</v>
      </c>
      <c r="AD18" s="312">
        <f>AD17-AD16</f>
        <v>305477</v>
      </c>
      <c r="AE18" s="311"/>
      <c r="AF18" s="311"/>
      <c r="AG18" s="311"/>
      <c r="AH18" s="312">
        <f>AH17-AH16</f>
        <v>67509.896000000008</v>
      </c>
      <c r="AI18" s="312">
        <f>AI17-AI16</f>
        <v>283968.00200000004</v>
      </c>
      <c r="AJ18" s="311"/>
      <c r="AK18" s="311"/>
      <c r="AL18" s="311"/>
      <c r="AM18" s="312">
        <f>AM17-AM16</f>
        <v>77646.687999999995</v>
      </c>
      <c r="AN18" s="312">
        <f>AN17-AN16</f>
        <v>330786.29700000002</v>
      </c>
      <c r="AO18" s="311"/>
      <c r="AP18" s="311"/>
      <c r="AQ18" s="311"/>
      <c r="AR18" s="312">
        <f>AR17-AR16</f>
        <v>218419.18799999999</v>
      </c>
      <c r="AS18" s="312">
        <f>AS17-AS16</f>
        <v>920231.29900000012</v>
      </c>
      <c r="AT18" s="311"/>
      <c r="AU18" s="311"/>
      <c r="AV18" s="312">
        <f>AV17-AV16</f>
        <v>457475.35499999998</v>
      </c>
      <c r="AW18" s="312">
        <f>AW17-AW16</f>
        <v>1877610.121</v>
      </c>
      <c r="AX18" s="311"/>
      <c r="AY18" s="311"/>
      <c r="AZ18" s="311"/>
      <c r="BA18" s="312">
        <f>BA17-BA16</f>
        <v>82011.833999999988</v>
      </c>
      <c r="BB18" s="312">
        <f>BB17-BB16</f>
        <v>352462.73499999999</v>
      </c>
      <c r="BC18" s="311"/>
      <c r="BD18" s="311"/>
      <c r="BE18" s="311"/>
      <c r="BF18" s="312">
        <f>BF17-BF16</f>
        <v>76105.19</v>
      </c>
      <c r="BG18" s="312">
        <f>BG17-BG16</f>
        <v>327163.56</v>
      </c>
      <c r="BH18" s="311"/>
      <c r="BI18" s="311"/>
      <c r="BJ18" s="311"/>
      <c r="BK18" s="312">
        <f>BK17-BK16</f>
        <v>67270.938000000009</v>
      </c>
      <c r="BL18" s="312">
        <f>BL17-BL16</f>
        <v>287766.19200000004</v>
      </c>
      <c r="BM18" s="311"/>
      <c r="BN18" s="311"/>
      <c r="BO18" s="311"/>
      <c r="BP18" s="312">
        <f>BP17-BP16</f>
        <v>225387.96200000003</v>
      </c>
      <c r="BQ18" s="312">
        <f>BQ17-BQ16</f>
        <v>967392.48699999996</v>
      </c>
      <c r="BR18" s="311"/>
      <c r="BS18" s="311"/>
      <c r="BT18" s="311"/>
      <c r="BU18" s="312">
        <f>BU17-BU16</f>
        <v>65666.820999999996</v>
      </c>
      <c r="BV18" s="312">
        <f>BV17-BV16</f>
        <v>234457.24999999997</v>
      </c>
      <c r="BW18" s="311"/>
      <c r="BX18" s="311"/>
      <c r="BY18" s="311"/>
      <c r="BZ18" s="312">
        <f>BZ17-BZ16</f>
        <v>70918.241999999998</v>
      </c>
      <c r="CA18" s="312">
        <f>CA17-CA16</f>
        <v>293936.71599999996</v>
      </c>
      <c r="CB18" s="311"/>
      <c r="CC18" s="311"/>
      <c r="CD18" s="311"/>
      <c r="CE18" s="312">
        <f>CE17-CE16</f>
        <v>67253.99500000001</v>
      </c>
      <c r="CF18" s="312">
        <f>CF17-CF16</f>
        <v>278481.64299999998</v>
      </c>
      <c r="CG18" s="311"/>
      <c r="CH18" s="311"/>
      <c r="CI18" s="311"/>
      <c r="CJ18" s="312">
        <f>CJ17-CJ16</f>
        <v>203839.05799999999</v>
      </c>
      <c r="CK18" s="312">
        <f>CK17-CK16</f>
        <v>806875.60899999994</v>
      </c>
      <c r="CL18" s="311"/>
      <c r="CM18" s="311"/>
      <c r="CN18" s="311"/>
      <c r="CO18" s="312">
        <f>CO17-CO16</f>
        <v>429227.02</v>
      </c>
      <c r="CP18" s="312">
        <f>CP17-CP16</f>
        <v>1774268.0959999999</v>
      </c>
      <c r="CQ18" s="311"/>
      <c r="CR18" s="311"/>
      <c r="CS18" s="311"/>
      <c r="CT18" s="312">
        <f>CT17-CT16</f>
        <v>881078.69700000004</v>
      </c>
      <c r="CU18" s="312">
        <f>CU17-CU16</f>
        <v>3677440.5260000001</v>
      </c>
      <c r="CV18" s="312"/>
      <c r="CW18" s="311"/>
      <c r="CX18" s="311"/>
    </row>
    <row r="19" spans="1:102" ht="12" customHeight="1">
      <c r="C19" s="35"/>
      <c r="Z19" s="121"/>
    </row>
    <row r="20" spans="1:102" ht="21.75" customHeight="1">
      <c r="C20" s="319"/>
    </row>
    <row r="21" spans="1:102">
      <c r="C21" s="320"/>
      <c r="D21" s="34"/>
      <c r="E21" s="34"/>
    </row>
    <row r="22" spans="1:102" ht="46.5" customHeight="1">
      <c r="C22" s="388" t="s">
        <v>136</v>
      </c>
      <c r="D22" s="388"/>
      <c r="E22" s="388"/>
      <c r="F22" s="388"/>
      <c r="G22" s="388"/>
      <c r="H22" s="388"/>
      <c r="I22" s="388"/>
      <c r="J22" s="388"/>
      <c r="K22" s="388"/>
      <c r="L22" s="388"/>
      <c r="M22" s="388"/>
      <c r="N22" s="388"/>
      <c r="O22" s="388"/>
      <c r="P22" s="388"/>
    </row>
    <row r="23" spans="1:102" ht="31.5">
      <c r="C23" s="313"/>
      <c r="D23" s="314"/>
      <c r="E23" s="314"/>
      <c r="F23" s="314"/>
      <c r="G23" s="314"/>
      <c r="H23" s="314"/>
      <c r="I23" s="314"/>
      <c r="J23" s="314"/>
      <c r="K23" s="314"/>
      <c r="L23" s="314"/>
    </row>
    <row r="25" spans="1:102">
      <c r="C25" s="5"/>
    </row>
    <row r="26" spans="1:102">
      <c r="C26" s="5"/>
    </row>
    <row r="27" spans="1:102">
      <c r="C27" s="5"/>
    </row>
    <row r="28" spans="1:102">
      <c r="C28" s="5"/>
    </row>
    <row r="29" spans="1:102">
      <c r="C29" s="5"/>
    </row>
    <row r="30" spans="1:102" ht="26.25">
      <c r="C30" s="5"/>
      <c r="Y30" s="287">
        <f>Y29-Y28</f>
        <v>0</v>
      </c>
      <c r="Z30" s="287">
        <f>Z29-Z28</f>
        <v>0</v>
      </c>
    </row>
    <row r="31" spans="1:102">
      <c r="C31" s="5"/>
    </row>
    <row r="32" spans="1:102">
      <c r="C32" s="5"/>
    </row>
    <row r="33" spans="3:3">
      <c r="C33" s="5"/>
    </row>
    <row r="34" spans="3:3">
      <c r="C34" s="5"/>
    </row>
    <row r="35" spans="3:3">
      <c r="C35" s="5"/>
    </row>
    <row r="36" spans="3:3">
      <c r="C36" s="5"/>
    </row>
    <row r="37" spans="3:3">
      <c r="C37" s="5"/>
    </row>
    <row r="38" spans="3:3">
      <c r="C38" s="5"/>
    </row>
    <row r="39" spans="3:3">
      <c r="C39" s="5"/>
    </row>
    <row r="40" spans="3:3">
      <c r="C40" s="5"/>
    </row>
    <row r="41" spans="3:3">
      <c r="C41" s="5"/>
    </row>
    <row r="42" spans="3:3">
      <c r="C42" s="5"/>
    </row>
    <row r="43" spans="3:3">
      <c r="C43" s="5"/>
    </row>
  </sheetData>
  <mergeCells count="27">
    <mergeCell ref="B2:AZ2"/>
    <mergeCell ref="CQ1:CT1"/>
    <mergeCell ref="AH3:AL3"/>
    <mergeCell ref="AM3:AQ3"/>
    <mergeCell ref="B3:B4"/>
    <mergeCell ref="C3:C4"/>
    <mergeCell ref="CT3:CX3"/>
    <mergeCell ref="BZ3:CD3"/>
    <mergeCell ref="CE3:CI3"/>
    <mergeCell ref="CJ3:CN3"/>
    <mergeCell ref="BA3:BE3"/>
    <mergeCell ref="BF3:BJ3"/>
    <mergeCell ref="BK3:BO3"/>
    <mergeCell ref="BP3:BT3"/>
    <mergeCell ref="BU3:BY3"/>
    <mergeCell ref="AV3:AZ3"/>
    <mergeCell ref="AR3:AU3"/>
    <mergeCell ref="T3:X3"/>
    <mergeCell ref="Y3:AB3"/>
    <mergeCell ref="CO3:CS3"/>
    <mergeCell ref="C20:C21"/>
    <mergeCell ref="J3:N3"/>
    <mergeCell ref="D3:I3"/>
    <mergeCell ref="C18:I18"/>
    <mergeCell ref="AC3:AG3"/>
    <mergeCell ref="O3:S3"/>
    <mergeCell ref="C22:P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landscape" r:id="rId1"/>
  <colBreaks count="2" manualBreakCount="2">
    <brk id="28" max="21" man="1"/>
    <brk id="63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7"/>
  <sheetViews>
    <sheetView view="pageBreakPreview" zoomScale="90" zoomScaleNormal="90" zoomScaleSheetLayoutView="90" workbookViewId="0">
      <selection activeCell="E15" sqref="E15"/>
    </sheetView>
  </sheetViews>
  <sheetFormatPr defaultRowHeight="15"/>
  <cols>
    <col min="1" max="1" width="32.42578125" customWidth="1"/>
    <col min="2" max="4" width="18" bestFit="1" customWidth="1"/>
    <col min="5" max="5" width="18" customWidth="1"/>
    <col min="6" max="6" width="21.140625" hidden="1" customWidth="1"/>
    <col min="9" max="9" width="9.140625" customWidth="1"/>
    <col min="10" max="10" width="30" customWidth="1"/>
    <col min="11" max="11" width="16.85546875" customWidth="1"/>
  </cols>
  <sheetData>
    <row r="1" spans="1:15" ht="32.25" customHeight="1">
      <c r="A1" s="178"/>
      <c r="B1" s="178"/>
      <c r="C1" s="356"/>
      <c r="D1" s="357"/>
      <c r="E1" s="357"/>
      <c r="F1" s="357"/>
      <c r="K1" s="185" t="s">
        <v>106</v>
      </c>
      <c r="L1" s="181"/>
      <c r="M1" s="186"/>
      <c r="N1" s="186"/>
      <c r="O1" s="182"/>
    </row>
    <row r="2" spans="1:15">
      <c r="A2" s="178"/>
      <c r="B2" s="178"/>
      <c r="C2" s="178"/>
      <c r="D2" s="178"/>
      <c r="E2" s="178"/>
      <c r="F2" s="178"/>
    </row>
    <row r="3" spans="1:15">
      <c r="A3" s="358" t="s">
        <v>0</v>
      </c>
      <c r="B3" s="359" t="s">
        <v>133</v>
      </c>
      <c r="C3" s="359"/>
      <c r="D3" s="359"/>
      <c r="E3" s="359"/>
      <c r="F3" s="359"/>
    </row>
    <row r="4" spans="1:15" ht="15.75" customHeight="1">
      <c r="A4" s="358"/>
      <c r="B4" s="359"/>
      <c r="C4" s="359"/>
      <c r="D4" s="359"/>
      <c r="E4" s="359"/>
      <c r="F4" s="359"/>
    </row>
    <row r="5" spans="1:15" ht="66.75" customHeight="1">
      <c r="A5" s="358"/>
      <c r="B5" s="148" t="s">
        <v>45</v>
      </c>
      <c r="C5" s="148" t="s">
        <v>61</v>
      </c>
      <c r="D5" s="148" t="s">
        <v>96</v>
      </c>
      <c r="E5" s="148" t="s">
        <v>17</v>
      </c>
      <c r="F5" s="148" t="s">
        <v>46</v>
      </c>
    </row>
    <row r="6" spans="1:15" ht="42" customHeight="1">
      <c r="A6" s="283" t="s">
        <v>13</v>
      </c>
      <c r="B6" s="155">
        <v>0.09</v>
      </c>
      <c r="C6" s="155">
        <v>761.9</v>
      </c>
      <c r="D6" s="155">
        <v>3506.83</v>
      </c>
      <c r="E6" s="155">
        <v>4.5999999999999996</v>
      </c>
      <c r="F6" s="155">
        <v>98.91</v>
      </c>
    </row>
    <row r="7" spans="1:15" ht="47.25" customHeight="1">
      <c r="A7" s="283" t="s">
        <v>21</v>
      </c>
      <c r="B7" s="155">
        <v>57.01</v>
      </c>
      <c r="C7" s="155">
        <v>506441.12</v>
      </c>
      <c r="D7" s="155">
        <v>2407574.4700000002</v>
      </c>
      <c r="E7" s="155">
        <v>4.75</v>
      </c>
      <c r="F7" s="155">
        <v>100</v>
      </c>
    </row>
    <row r="8" spans="1:15" ht="73.5" customHeight="1">
      <c r="A8" s="283" t="s">
        <v>1</v>
      </c>
      <c r="B8" s="155">
        <v>5.36</v>
      </c>
      <c r="C8" s="155">
        <v>47580.39</v>
      </c>
      <c r="D8" s="155">
        <v>160570.85</v>
      </c>
      <c r="E8" s="155">
        <v>3.37</v>
      </c>
      <c r="F8" s="155">
        <v>100</v>
      </c>
    </row>
    <row r="9" spans="1:15" ht="35.25" customHeight="1">
      <c r="A9" s="283" t="s">
        <v>2</v>
      </c>
      <c r="B9" s="155">
        <v>34.479999999999997</v>
      </c>
      <c r="C9" s="155">
        <v>306305.96999999997</v>
      </c>
      <c r="D9" s="155">
        <v>1010328.11</v>
      </c>
      <c r="E9" s="155">
        <v>3.3</v>
      </c>
      <c r="F9" s="155">
        <v>100</v>
      </c>
    </row>
    <row r="10" spans="1:15" ht="34.5" customHeight="1">
      <c r="A10" s="283" t="s">
        <v>98</v>
      </c>
      <c r="B10" s="161">
        <v>3.06</v>
      </c>
      <c r="C10" s="161">
        <v>27205.71</v>
      </c>
      <c r="D10" s="161">
        <v>129344.14</v>
      </c>
      <c r="E10" s="161">
        <v>4.75</v>
      </c>
      <c r="F10" s="155">
        <v>100.01</v>
      </c>
    </row>
    <row r="11" spans="1:15" ht="21" customHeight="1">
      <c r="A11" s="281" t="s">
        <v>3</v>
      </c>
      <c r="B11" s="155">
        <v>4.37</v>
      </c>
      <c r="C11" s="155">
        <v>1188.56</v>
      </c>
      <c r="D11" s="155">
        <v>4952.6000000000004</v>
      </c>
      <c r="E11" s="155">
        <v>4.17</v>
      </c>
      <c r="F11" s="155">
        <v>100</v>
      </c>
    </row>
    <row r="12" spans="1:15" ht="42.75" customHeight="1">
      <c r="A12" s="281" t="s">
        <v>4</v>
      </c>
      <c r="B12" s="155">
        <v>43.94</v>
      </c>
      <c r="C12" s="155">
        <v>11954.06</v>
      </c>
      <c r="D12" s="155">
        <v>57518.93</v>
      </c>
      <c r="E12" s="155">
        <v>4.8099999999999996</v>
      </c>
      <c r="F12" s="155">
        <v>100</v>
      </c>
    </row>
    <row r="13" spans="1:15">
      <c r="A13" s="281" t="s">
        <v>5</v>
      </c>
      <c r="B13" s="155">
        <v>8.48</v>
      </c>
      <c r="C13" s="155">
        <v>2308.0700000000002</v>
      </c>
      <c r="D13" s="155">
        <v>11117.4</v>
      </c>
      <c r="E13" s="155">
        <v>4.82</v>
      </c>
      <c r="F13" s="155">
        <v>100</v>
      </c>
    </row>
    <row r="14" spans="1:15" ht="40.5" customHeight="1">
      <c r="A14" s="281" t="s">
        <v>12</v>
      </c>
      <c r="B14" s="155">
        <v>3.03</v>
      </c>
      <c r="C14" s="155">
        <v>823.96</v>
      </c>
      <c r="D14" s="155">
        <v>3972.25</v>
      </c>
      <c r="E14" s="155">
        <v>4.82</v>
      </c>
      <c r="F14" s="155">
        <v>99.63</v>
      </c>
    </row>
    <row r="15" spans="1:15" ht="42.75" customHeight="1">
      <c r="A15" s="281" t="s">
        <v>6</v>
      </c>
      <c r="B15" s="155">
        <v>13.65</v>
      </c>
      <c r="C15" s="155">
        <v>3714.68</v>
      </c>
      <c r="D15" s="155">
        <v>17899.080000000002</v>
      </c>
      <c r="E15" s="157">
        <v>4.82</v>
      </c>
      <c r="F15" s="155">
        <v>100</v>
      </c>
    </row>
    <row r="16" spans="1:15" ht="71.25" hidden="1">
      <c r="A16" s="282" t="s">
        <v>108</v>
      </c>
      <c r="B16" s="270">
        <v>13.2</v>
      </c>
      <c r="C16" s="270">
        <v>1128.24</v>
      </c>
      <c r="D16" s="270">
        <v>5197.71</v>
      </c>
      <c r="E16" s="270">
        <v>4.6100000000000003</v>
      </c>
      <c r="F16" s="284"/>
    </row>
    <row r="17" spans="1:6" ht="76.5">
      <c r="A17" s="285" t="s">
        <v>132</v>
      </c>
      <c r="B17" s="284">
        <v>26.53</v>
      </c>
      <c r="C17" s="284">
        <v>7216.39</v>
      </c>
      <c r="D17" s="284">
        <v>33883.879999999997</v>
      </c>
      <c r="E17" s="284">
        <v>4.7</v>
      </c>
      <c r="F17" s="284"/>
    </row>
  </sheetData>
  <mergeCells count="3">
    <mergeCell ref="C1:F1"/>
    <mergeCell ref="A3:A5"/>
    <mergeCell ref="B3:F4"/>
  </mergeCells>
  <pageMargins left="0.7" right="0.7" top="0.75" bottom="0.75" header="0.3" footer="0.3"/>
  <pageSetup paperSize="9" scale="38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5"/>
  <sheetViews>
    <sheetView view="pageBreakPreview" zoomScale="90" zoomScaleNormal="80" zoomScaleSheetLayoutView="90" workbookViewId="0">
      <pane xSplit="1" ySplit="3" topLeftCell="B31" activePane="bottomRight" state="frozen"/>
      <selection pane="topRight" activeCell="B1" sqref="B1"/>
      <selection pane="bottomLeft" activeCell="A4" sqref="A4"/>
      <selection pane="bottomRight" activeCell="M10" sqref="M10"/>
    </sheetView>
  </sheetViews>
  <sheetFormatPr defaultRowHeight="15"/>
  <cols>
    <col min="1" max="1" width="45.28515625" customWidth="1"/>
    <col min="2" max="2" width="11.7109375" customWidth="1"/>
    <col min="10" max="10" width="9.140625" customWidth="1"/>
    <col min="11" max="11" width="10.7109375" bestFit="1" customWidth="1"/>
  </cols>
  <sheetData>
    <row r="1" spans="1:14" ht="32.25" customHeight="1">
      <c r="C1" s="360" t="s">
        <v>10</v>
      </c>
      <c r="D1" s="360"/>
      <c r="E1" s="360"/>
      <c r="F1" s="360"/>
      <c r="G1" s="360"/>
      <c r="H1" s="360"/>
      <c r="I1" s="360"/>
      <c r="J1" s="360"/>
    </row>
    <row r="2" spans="1:14" ht="35.25" customHeight="1">
      <c r="A2" s="43"/>
    </row>
    <row r="3" spans="1:14" ht="51.75" customHeight="1">
      <c r="A3" s="362" t="s">
        <v>130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</row>
    <row r="4" spans="1:14" ht="53.25" customHeight="1">
      <c r="A4" s="41" t="s">
        <v>0</v>
      </c>
      <c r="B4" s="44">
        <v>43466</v>
      </c>
      <c r="C4" s="44">
        <v>43497</v>
      </c>
      <c r="D4" s="44">
        <v>43525</v>
      </c>
      <c r="E4" s="44">
        <v>43556</v>
      </c>
      <c r="F4" s="44">
        <v>43586</v>
      </c>
      <c r="G4" s="44">
        <v>43617</v>
      </c>
      <c r="H4" s="44">
        <v>43647</v>
      </c>
      <c r="I4" s="44">
        <v>43678</v>
      </c>
      <c r="J4" s="44">
        <v>43709</v>
      </c>
      <c r="K4" s="44">
        <v>43739</v>
      </c>
      <c r="L4" s="44">
        <v>43770</v>
      </c>
      <c r="M4" s="44">
        <v>43800</v>
      </c>
    </row>
    <row r="5" spans="1:14" ht="53.25" customHeight="1">
      <c r="A5" s="151" t="s">
        <v>13</v>
      </c>
      <c r="B5" s="23">
        <v>0.06</v>
      </c>
      <c r="C5" s="271">
        <v>0.17</v>
      </c>
      <c r="D5" s="271">
        <v>0.08</v>
      </c>
      <c r="E5" s="271">
        <v>0.08</v>
      </c>
      <c r="F5" s="271">
        <v>0.08</v>
      </c>
      <c r="G5" s="271">
        <v>0.12</v>
      </c>
      <c r="H5" s="272">
        <v>0.05</v>
      </c>
      <c r="I5" s="273">
        <v>0.09</v>
      </c>
      <c r="J5" s="271">
        <v>0.15</v>
      </c>
      <c r="K5" s="278">
        <v>0.06</v>
      </c>
      <c r="L5" s="278">
        <v>7.0000000000000007E-2</v>
      </c>
      <c r="M5" s="278">
        <v>0.05</v>
      </c>
    </row>
    <row r="6" spans="1:14" ht="57.75" customHeight="1">
      <c r="A6" s="151" t="s">
        <v>21</v>
      </c>
      <c r="B6" s="23">
        <v>49.15</v>
      </c>
      <c r="C6" s="271">
        <v>52.8</v>
      </c>
      <c r="D6" s="271">
        <v>53.02</v>
      </c>
      <c r="E6" s="271">
        <v>55.29</v>
      </c>
      <c r="F6" s="271">
        <v>56.89</v>
      </c>
      <c r="G6" s="271">
        <v>61.39</v>
      </c>
      <c r="H6" s="272">
        <v>59.65</v>
      </c>
      <c r="I6" s="273">
        <v>60.21</v>
      </c>
      <c r="J6" s="271">
        <v>62.08</v>
      </c>
      <c r="K6" s="278">
        <v>60.65</v>
      </c>
      <c r="L6" s="278">
        <v>55.59</v>
      </c>
      <c r="M6" s="278">
        <v>53.71</v>
      </c>
      <c r="N6" s="89"/>
    </row>
    <row r="7" spans="1:14" ht="82.5" customHeight="1">
      <c r="A7" s="151" t="s">
        <v>1</v>
      </c>
      <c r="B7" s="23">
        <v>6.08</v>
      </c>
      <c r="C7" s="271">
        <v>4.9000000000000004</v>
      </c>
      <c r="D7" s="271">
        <v>5.33</v>
      </c>
      <c r="E7" s="271">
        <v>5.0599999999999996</v>
      </c>
      <c r="F7" s="271">
        <v>4.82</v>
      </c>
      <c r="G7" s="271">
        <v>5.33</v>
      </c>
      <c r="H7" s="272">
        <v>4.9800000000000004</v>
      </c>
      <c r="I7" s="273">
        <v>5.13</v>
      </c>
      <c r="J7" s="271">
        <v>5.45</v>
      </c>
      <c r="K7" s="278">
        <v>5.05</v>
      </c>
      <c r="L7" s="278">
        <v>5.65</v>
      </c>
      <c r="M7" s="278">
        <v>6.23</v>
      </c>
    </row>
    <row r="8" spans="1:14" ht="33" customHeight="1">
      <c r="A8" s="151" t="s">
        <v>2</v>
      </c>
      <c r="B8" s="23">
        <v>32.979999999999997</v>
      </c>
      <c r="C8" s="271">
        <v>39.08</v>
      </c>
      <c r="D8" s="271">
        <v>38.590000000000003</v>
      </c>
      <c r="E8" s="271">
        <v>36.42</v>
      </c>
      <c r="F8" s="271">
        <v>33.22</v>
      </c>
      <c r="G8" s="271">
        <v>29.16</v>
      </c>
      <c r="H8" s="272">
        <v>32.020000000000003</v>
      </c>
      <c r="I8" s="273">
        <v>31.79</v>
      </c>
      <c r="J8" s="271">
        <v>30.62</v>
      </c>
      <c r="K8" s="278">
        <f>34.56-0.63</f>
        <v>33.93</v>
      </c>
      <c r="L8" s="278">
        <v>35.83</v>
      </c>
      <c r="M8" s="278">
        <v>38.22</v>
      </c>
    </row>
    <row r="9" spans="1:14" ht="33.75" customHeight="1">
      <c r="A9" s="151" t="s">
        <v>20</v>
      </c>
      <c r="B9" s="23">
        <v>3.2</v>
      </c>
      <c r="C9" s="271">
        <v>3.03</v>
      </c>
      <c r="D9" s="271">
        <v>2.96</v>
      </c>
      <c r="E9" s="271">
        <v>3.13</v>
      </c>
      <c r="F9" s="271">
        <v>5.03</v>
      </c>
      <c r="G9" s="271">
        <v>3.99</v>
      </c>
      <c r="H9" s="272">
        <v>3.3</v>
      </c>
      <c r="I9" s="273">
        <v>2.78</v>
      </c>
      <c r="J9" s="271">
        <v>1.71</v>
      </c>
      <c r="K9" s="278">
        <v>0.31</v>
      </c>
      <c r="L9" s="278">
        <v>2.87</v>
      </c>
      <c r="M9" s="278">
        <v>1.79</v>
      </c>
    </row>
    <row r="10" spans="1:14" ht="55.5" customHeight="1">
      <c r="A10" s="151" t="s">
        <v>7</v>
      </c>
      <c r="B10" s="111">
        <v>100</v>
      </c>
      <c r="C10" s="111">
        <f t="shared" ref="C10:M10" si="0">SUM(C5+C6+C7+C8+C9)</f>
        <v>99.97999999999999</v>
      </c>
      <c r="D10" s="111">
        <f t="shared" si="0"/>
        <v>99.98</v>
      </c>
      <c r="E10" s="111">
        <f t="shared" si="0"/>
        <v>99.97999999999999</v>
      </c>
      <c r="F10" s="111">
        <f>SUM(F5+F6+F7+F8+F9)</f>
        <v>100.03999999999999</v>
      </c>
      <c r="G10" s="111">
        <f t="shared" si="0"/>
        <v>99.99</v>
      </c>
      <c r="H10" s="111">
        <f t="shared" si="0"/>
        <v>99.999999999999986</v>
      </c>
      <c r="I10" s="111">
        <f t="shared" si="0"/>
        <v>100</v>
      </c>
      <c r="J10" s="111">
        <f t="shared" si="0"/>
        <v>100.00999999999999</v>
      </c>
      <c r="K10" s="111">
        <f t="shared" si="0"/>
        <v>100</v>
      </c>
      <c r="L10" s="111">
        <f t="shared" si="0"/>
        <v>100.01</v>
      </c>
      <c r="M10" s="111">
        <f t="shared" si="0"/>
        <v>100</v>
      </c>
    </row>
    <row r="15" spans="1:14" ht="25.5">
      <c r="E15" s="361" t="s">
        <v>10</v>
      </c>
      <c r="F15" s="361"/>
      <c r="G15" s="361"/>
      <c r="H15" s="361"/>
      <c r="I15" s="361"/>
      <c r="J15" s="361"/>
      <c r="K15" s="361"/>
      <c r="L15" s="361"/>
    </row>
  </sheetData>
  <mergeCells count="3">
    <mergeCell ref="C1:J1"/>
    <mergeCell ref="E15:L15"/>
    <mergeCell ref="A3:M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7"/>
  <sheetViews>
    <sheetView view="pageBreakPreview" topLeftCell="A13" zoomScale="60" zoomScaleNormal="90" workbookViewId="0">
      <selection activeCell="M24" sqref="M24"/>
    </sheetView>
  </sheetViews>
  <sheetFormatPr defaultRowHeight="15"/>
  <cols>
    <col min="1" max="1" width="49.28515625" customWidth="1"/>
    <col min="2" max="2" width="14.85546875" customWidth="1"/>
    <col min="3" max="7" width="14" bestFit="1" customWidth="1"/>
    <col min="8" max="8" width="14.85546875" customWidth="1"/>
    <col min="9" max="9" width="15" customWidth="1"/>
    <col min="10" max="10" width="14.42578125" customWidth="1"/>
    <col min="11" max="11" width="17" customWidth="1"/>
    <col min="12" max="12" width="15.42578125" customWidth="1"/>
    <col min="13" max="13" width="15.28515625" customWidth="1"/>
  </cols>
  <sheetData>
    <row r="1" spans="1:13" ht="38.25" customHeight="1">
      <c r="D1" s="363" t="s">
        <v>11</v>
      </c>
      <c r="E1" s="363"/>
      <c r="F1" s="363"/>
      <c r="G1" s="363"/>
      <c r="H1" s="363"/>
      <c r="I1" s="363"/>
      <c r="J1" s="363"/>
    </row>
    <row r="2" spans="1:13" ht="33.75" customHeight="1">
      <c r="A2" s="43"/>
    </row>
    <row r="3" spans="1:13" ht="95.25" customHeight="1">
      <c r="A3" s="364" t="s">
        <v>109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</row>
    <row r="4" spans="1:13" ht="15.75">
      <c r="A4" s="138" t="s">
        <v>0</v>
      </c>
      <c r="B4" s="44">
        <v>43466</v>
      </c>
      <c r="C4" s="44">
        <v>43497</v>
      </c>
      <c r="D4" s="44">
        <v>43525</v>
      </c>
      <c r="E4" s="44">
        <v>43556</v>
      </c>
      <c r="F4" s="44">
        <v>43586</v>
      </c>
      <c r="G4" s="44">
        <v>43617</v>
      </c>
      <c r="H4" s="44">
        <v>43647</v>
      </c>
      <c r="I4" s="44">
        <v>43678</v>
      </c>
      <c r="J4" s="44">
        <v>43709</v>
      </c>
      <c r="K4" s="44">
        <v>43739</v>
      </c>
      <c r="L4" s="44">
        <v>43770</v>
      </c>
      <c r="M4" s="44">
        <v>43800</v>
      </c>
    </row>
    <row r="5" spans="1:13" ht="31.5">
      <c r="A5" s="139" t="s">
        <v>13</v>
      </c>
      <c r="B5" s="134">
        <v>50.22</v>
      </c>
      <c r="C5" s="135">
        <v>135.54</v>
      </c>
      <c r="D5" s="135">
        <v>55.67</v>
      </c>
      <c r="E5" s="135">
        <v>60.97</v>
      </c>
      <c r="F5" s="135">
        <v>39.56</v>
      </c>
      <c r="G5" s="167">
        <v>90.8</v>
      </c>
      <c r="H5" s="271">
        <v>40.74</v>
      </c>
      <c r="I5" s="271">
        <v>68.95</v>
      </c>
      <c r="J5" s="271">
        <v>98.45</v>
      </c>
      <c r="K5" s="278">
        <v>37.07</v>
      </c>
      <c r="L5" s="278">
        <v>49.99</v>
      </c>
      <c r="M5" s="278">
        <v>33.94</v>
      </c>
    </row>
    <row r="6" spans="1:13" ht="47.25">
      <c r="A6" s="139" t="s">
        <v>21</v>
      </c>
      <c r="B6" s="134">
        <v>43066.84</v>
      </c>
      <c r="C6" s="135">
        <v>43655.14</v>
      </c>
      <c r="D6" s="135">
        <v>37994.980000000003</v>
      </c>
      <c r="E6" s="135">
        <v>41023.17</v>
      </c>
      <c r="F6" s="135">
        <v>38403.58</v>
      </c>
      <c r="G6" s="167">
        <v>48369.38</v>
      </c>
      <c r="H6" s="271">
        <v>49273.71</v>
      </c>
      <c r="I6" s="271">
        <v>46193.27</v>
      </c>
      <c r="J6" s="271">
        <v>42099.32</v>
      </c>
      <c r="K6" s="278">
        <v>40160.120000000003</v>
      </c>
      <c r="L6" s="278">
        <v>39770.660000000003</v>
      </c>
      <c r="M6" s="278">
        <v>35480.959999999999</v>
      </c>
    </row>
    <row r="7" spans="1:13" ht="63">
      <c r="A7" s="139" t="s">
        <v>1</v>
      </c>
      <c r="B7" s="134">
        <v>5327.24</v>
      </c>
      <c r="C7" s="135">
        <v>4033.41</v>
      </c>
      <c r="D7" s="135">
        <v>3759.35</v>
      </c>
      <c r="E7" s="135">
        <v>3709.37</v>
      </c>
      <c r="F7" s="135">
        <v>3255.51</v>
      </c>
      <c r="G7" s="167">
        <v>1439.3</v>
      </c>
      <c r="H7" s="271">
        <v>4115.04</v>
      </c>
      <c r="I7" s="271">
        <v>3937.22</v>
      </c>
      <c r="J7" s="271">
        <v>3693.2</v>
      </c>
      <c r="K7" s="278">
        <v>3342.98</v>
      </c>
      <c r="L7" s="278">
        <v>4039.54</v>
      </c>
      <c r="M7" s="278">
        <v>4228.2299999999996</v>
      </c>
    </row>
    <row r="8" spans="1:13" ht="31.5">
      <c r="A8" s="139" t="s">
        <v>2</v>
      </c>
      <c r="B8" s="134">
        <v>28894.66</v>
      </c>
      <c r="C8" s="135">
        <v>31887.47</v>
      </c>
      <c r="D8" s="135">
        <v>27212.42</v>
      </c>
      <c r="E8" s="135">
        <v>26679.53</v>
      </c>
      <c r="F8" s="135">
        <v>22899.82</v>
      </c>
      <c r="G8" s="167">
        <v>22639.81</v>
      </c>
      <c r="H8" s="271">
        <v>26452.33</v>
      </c>
      <c r="I8" s="271">
        <v>24390.09</v>
      </c>
      <c r="J8" s="271">
        <v>20767.53</v>
      </c>
      <c r="K8" s="278">
        <v>22884.26</v>
      </c>
      <c r="L8" s="278">
        <v>25634.54</v>
      </c>
      <c r="M8" s="278">
        <v>25963.51</v>
      </c>
    </row>
    <row r="9" spans="1:13" ht="43.5" customHeight="1">
      <c r="A9" s="140" t="s">
        <v>20</v>
      </c>
      <c r="B9" s="134">
        <v>2805.02</v>
      </c>
      <c r="C9" s="135">
        <v>2490.85</v>
      </c>
      <c r="D9" s="135">
        <v>2106.35</v>
      </c>
      <c r="E9" s="135">
        <v>2306.75</v>
      </c>
      <c r="F9" s="135">
        <v>3424.36</v>
      </c>
      <c r="G9" s="167">
        <v>3129.88</v>
      </c>
      <c r="H9" s="271">
        <v>2725.81</v>
      </c>
      <c r="I9" s="271">
        <v>2134.91</v>
      </c>
      <c r="J9" s="271">
        <v>1160.8800000000001</v>
      </c>
      <c r="K9" s="278">
        <v>-203.45</v>
      </c>
      <c r="L9" s="278">
        <v>2053.85</v>
      </c>
      <c r="M9" s="278">
        <v>1216.68</v>
      </c>
    </row>
    <row r="10" spans="1:13" ht="24" customHeight="1">
      <c r="A10" s="141" t="s">
        <v>7</v>
      </c>
      <c r="B10" s="136">
        <f>SUM(B5:B9)</f>
        <v>80143.98</v>
      </c>
      <c r="C10" s="137">
        <f>SUM(C5:C9)</f>
        <v>82202.41</v>
      </c>
      <c r="D10" s="137">
        <f>SUM(D5:D9)</f>
        <v>71128.77</v>
      </c>
      <c r="E10" s="137">
        <f t="shared" ref="E10:M10" si="0">SUM(E5:E9)</f>
        <v>73779.790000000008</v>
      </c>
      <c r="F10" s="137">
        <f t="shared" si="0"/>
        <v>68022.83</v>
      </c>
      <c r="G10" s="168">
        <f t="shared" si="0"/>
        <v>75669.170000000013</v>
      </c>
      <c r="H10" s="168">
        <f t="shared" si="0"/>
        <v>82607.63</v>
      </c>
      <c r="I10" s="168">
        <f t="shared" si="0"/>
        <v>76724.44</v>
      </c>
      <c r="J10" s="168">
        <f t="shared" si="0"/>
        <v>67819.38</v>
      </c>
      <c r="K10" s="168">
        <f t="shared" si="0"/>
        <v>66220.98000000001</v>
      </c>
      <c r="L10" s="168">
        <f t="shared" si="0"/>
        <v>71548.580000000016</v>
      </c>
      <c r="M10" s="168">
        <f t="shared" si="0"/>
        <v>66923.319999999992</v>
      </c>
    </row>
    <row r="11" spans="1:13" ht="26.25" customHeight="1"/>
    <row r="17" spans="1:7" ht="30">
      <c r="A17" s="363" t="s">
        <v>11</v>
      </c>
      <c r="B17" s="363"/>
      <c r="C17" s="363"/>
      <c r="D17" s="363"/>
      <c r="E17" s="363"/>
      <c r="F17" s="363"/>
      <c r="G17" s="363"/>
    </row>
  </sheetData>
  <mergeCells count="3">
    <mergeCell ref="A17:G17"/>
    <mergeCell ref="D1:J1"/>
    <mergeCell ref="A3:M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6"/>
  <sheetViews>
    <sheetView view="pageBreakPreview" zoomScale="60" zoomScaleNormal="8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H16" sqref="H16"/>
    </sheetView>
  </sheetViews>
  <sheetFormatPr defaultRowHeight="15"/>
  <cols>
    <col min="1" max="1" width="38.5703125" customWidth="1"/>
    <col min="2" max="2" width="14.85546875" customWidth="1"/>
    <col min="3" max="3" width="11.7109375" customWidth="1"/>
    <col min="17" max="17" width="9.140625" customWidth="1"/>
  </cols>
  <sheetData>
    <row r="1" spans="1:14" ht="32.25" customHeight="1">
      <c r="K1" s="365" t="s">
        <v>106</v>
      </c>
      <c r="L1" s="366"/>
      <c r="M1" s="366"/>
      <c r="N1" s="366"/>
    </row>
    <row r="2" spans="1:14" ht="35.25" customHeight="1">
      <c r="A2" s="43"/>
      <c r="B2" s="95"/>
    </row>
    <row r="3" spans="1:14" ht="51.75" customHeight="1">
      <c r="A3" s="362" t="s">
        <v>94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</row>
    <row r="4" spans="1:14" ht="53.25" customHeight="1">
      <c r="A4" s="41" t="s">
        <v>0</v>
      </c>
      <c r="B4" s="44">
        <v>42705</v>
      </c>
      <c r="C4" s="44">
        <v>42736</v>
      </c>
      <c r="D4" s="44">
        <v>42767</v>
      </c>
      <c r="E4" s="44">
        <v>42795</v>
      </c>
      <c r="F4" s="44">
        <v>42826</v>
      </c>
      <c r="G4" s="44">
        <v>42856</v>
      </c>
      <c r="H4" s="44">
        <v>42887</v>
      </c>
      <c r="I4" s="44">
        <v>42917</v>
      </c>
      <c r="J4" s="44">
        <v>42948</v>
      </c>
      <c r="K4" s="44">
        <v>42979</v>
      </c>
      <c r="L4" s="44">
        <v>43009</v>
      </c>
      <c r="M4" s="44">
        <v>43040</v>
      </c>
      <c r="N4" s="44">
        <v>43070</v>
      </c>
    </row>
    <row r="5" spans="1:14" ht="53.25" customHeight="1">
      <c r="A5" s="151" t="s">
        <v>13</v>
      </c>
      <c r="B5" s="23">
        <f>'Приложение №1'!I6</f>
        <v>0.12471475745662682</v>
      </c>
      <c r="C5" s="23">
        <f>'Приложение №1'!N6</f>
        <v>5.7315861709645623E-2</v>
      </c>
      <c r="D5" s="152">
        <v>7.0000000000000007E-2</v>
      </c>
      <c r="E5" s="152">
        <v>7.0000000000000007E-2</v>
      </c>
      <c r="F5" s="152">
        <v>0.09</v>
      </c>
      <c r="G5" s="152">
        <v>0.09</v>
      </c>
      <c r="H5" s="152">
        <v>0.12</v>
      </c>
      <c r="I5" s="152">
        <v>0.14000000000000001</v>
      </c>
      <c r="J5" s="152">
        <v>0.11</v>
      </c>
      <c r="K5" s="152">
        <v>0.1</v>
      </c>
      <c r="L5" s="152">
        <v>0.14000000000000001</v>
      </c>
      <c r="M5" s="152">
        <v>0.34</v>
      </c>
      <c r="N5" s="152">
        <v>0.13</v>
      </c>
    </row>
    <row r="6" spans="1:14" ht="44.25" customHeight="1">
      <c r="A6" s="151" t="s">
        <v>21</v>
      </c>
      <c r="B6" s="23">
        <f>'Приложение №1'!I7</f>
        <v>59.49143788316065</v>
      </c>
      <c r="C6" s="23">
        <f>'Приложение №1'!N7</f>
        <v>49.151007728482625</v>
      </c>
      <c r="D6" s="152">
        <v>53.44</v>
      </c>
      <c r="E6" s="152">
        <v>57.17</v>
      </c>
      <c r="F6" s="152">
        <v>58.99</v>
      </c>
      <c r="G6" s="152">
        <v>63.13</v>
      </c>
      <c r="H6" s="152">
        <v>59.2</v>
      </c>
      <c r="I6" s="152">
        <v>50.98</v>
      </c>
      <c r="J6" s="152">
        <v>68.98</v>
      </c>
      <c r="K6" s="152">
        <v>58.86</v>
      </c>
      <c r="L6" s="152">
        <v>60.9</v>
      </c>
      <c r="M6" s="152">
        <v>58.36</v>
      </c>
      <c r="N6" s="152">
        <v>59.49</v>
      </c>
    </row>
    <row r="7" spans="1:14" ht="82.5" customHeight="1">
      <c r="A7" s="151" t="s">
        <v>1</v>
      </c>
      <c r="B7" s="23">
        <f>'Приложение №1'!I8</f>
        <v>3.8991880316209468</v>
      </c>
      <c r="C7" s="23">
        <f>'Приложение №1'!N8</f>
        <v>6.0798318731679801</v>
      </c>
      <c r="D7" s="152">
        <v>3.38</v>
      </c>
      <c r="E7" s="152">
        <v>3.22</v>
      </c>
      <c r="F7" s="152">
        <v>4.2300000000000004</v>
      </c>
      <c r="G7" s="152">
        <v>2.62</v>
      </c>
      <c r="H7" s="152">
        <v>5.82</v>
      </c>
      <c r="I7" s="152">
        <v>3.48</v>
      </c>
      <c r="J7" s="152">
        <v>6.31</v>
      </c>
      <c r="K7" s="152">
        <v>5.72</v>
      </c>
      <c r="L7" s="152">
        <v>6.24</v>
      </c>
      <c r="M7" s="152">
        <v>3.29</v>
      </c>
      <c r="N7" s="152">
        <v>3.9</v>
      </c>
    </row>
    <row r="8" spans="1:14" ht="33" customHeight="1">
      <c r="A8" s="151" t="s">
        <v>2</v>
      </c>
      <c r="B8" s="23">
        <f>'Приложение №1'!I9</f>
        <v>33.209970258112975</v>
      </c>
      <c r="C8" s="23">
        <f>'Приложение №1'!N9</f>
        <v>32.976690906654405</v>
      </c>
      <c r="D8" s="152">
        <v>40.380000000000003</v>
      </c>
      <c r="E8" s="152">
        <v>36.79</v>
      </c>
      <c r="F8" s="152">
        <v>35.020000000000003</v>
      </c>
      <c r="G8" s="152">
        <v>29.93</v>
      </c>
      <c r="H8" s="152">
        <v>31.1</v>
      </c>
      <c r="I8" s="152">
        <v>42.24</v>
      </c>
      <c r="J8" s="152">
        <v>19.329999999999998</v>
      </c>
      <c r="K8" s="152">
        <v>28.61</v>
      </c>
      <c r="L8" s="152">
        <v>29.18</v>
      </c>
      <c r="M8" s="152">
        <v>35.229999999999997</v>
      </c>
      <c r="N8" s="152">
        <v>33.21</v>
      </c>
    </row>
    <row r="9" spans="1:14" ht="33.75" customHeight="1">
      <c r="A9" s="151" t="s">
        <v>20</v>
      </c>
      <c r="B9" s="23">
        <f>'Приложение №1'!I10</f>
        <v>3.2746890696488076</v>
      </c>
      <c r="C9" s="23">
        <f>'Приложение №1'!N10</f>
        <v>3.2012930529617121</v>
      </c>
      <c r="D9" s="152">
        <v>2.73</v>
      </c>
      <c r="E9" s="152">
        <v>2.75</v>
      </c>
      <c r="F9" s="152">
        <v>1.67</v>
      </c>
      <c r="G9" s="152">
        <v>4.2300000000000004</v>
      </c>
      <c r="H9" s="152">
        <v>3.76</v>
      </c>
      <c r="I9" s="152">
        <v>3.16</v>
      </c>
      <c r="J9" s="152">
        <v>5.27</v>
      </c>
      <c r="K9" s="152">
        <v>6.71</v>
      </c>
      <c r="L9" s="152">
        <v>3.54</v>
      </c>
      <c r="M9" s="152">
        <v>2.78</v>
      </c>
      <c r="N9" s="152">
        <v>3.27</v>
      </c>
    </row>
    <row r="10" spans="1:14" ht="55.5" customHeight="1">
      <c r="A10" s="151" t="s">
        <v>7</v>
      </c>
      <c r="B10" s="111">
        <f t="shared" ref="B10:G10" si="0">SUM(B5:B9)</f>
        <v>100</v>
      </c>
      <c r="C10" s="111">
        <f t="shared" si="0"/>
        <v>91.466139422976369</v>
      </c>
      <c r="D10" s="152">
        <f t="shared" si="0"/>
        <v>100.00000000000001</v>
      </c>
      <c r="E10" s="152">
        <f t="shared" si="0"/>
        <v>100</v>
      </c>
      <c r="F10" s="152">
        <f t="shared" si="0"/>
        <v>100.00000000000001</v>
      </c>
      <c r="G10" s="152">
        <f t="shared" si="0"/>
        <v>100.00000000000001</v>
      </c>
      <c r="H10" s="152">
        <f>SUM(H5:H9)</f>
        <v>100.00000000000001</v>
      </c>
      <c r="I10" s="152">
        <f>SUM(I5:I9)</f>
        <v>100</v>
      </c>
      <c r="J10" s="152">
        <f>SUM(J5:J9)</f>
        <v>100</v>
      </c>
      <c r="K10" s="152">
        <f t="shared" ref="K10:N10" si="1">SUM(K5:K9)</f>
        <v>100</v>
      </c>
      <c r="L10" s="152">
        <f t="shared" si="1"/>
        <v>100.00000000000001</v>
      </c>
      <c r="M10" s="152">
        <f t="shared" si="1"/>
        <v>100</v>
      </c>
      <c r="N10" s="152">
        <f t="shared" si="1"/>
        <v>100</v>
      </c>
    </row>
    <row r="16" spans="1:14" ht="30">
      <c r="J16" s="179" t="s">
        <v>106</v>
      </c>
      <c r="K16" s="179"/>
      <c r="L16" s="179"/>
      <c r="M16" s="179"/>
      <c r="N16" s="179"/>
    </row>
  </sheetData>
  <mergeCells count="2">
    <mergeCell ref="A3:N3"/>
    <mergeCell ref="K1:N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workbookViewId="0">
      <selection activeCell="G6" sqref="G6"/>
    </sheetView>
  </sheetViews>
  <sheetFormatPr defaultRowHeight="15"/>
  <cols>
    <col min="1" max="1" width="43.140625" customWidth="1"/>
    <col min="2" max="2" width="16" customWidth="1"/>
    <col min="3" max="3" width="19.85546875" customWidth="1"/>
    <col min="4" max="9" width="14.7109375" customWidth="1"/>
    <col min="10" max="10" width="17.7109375" customWidth="1"/>
    <col min="11" max="11" width="17.85546875" customWidth="1"/>
    <col min="12" max="12" width="14.7109375" customWidth="1"/>
    <col min="13" max="13" width="14.5703125" customWidth="1"/>
    <col min="14" max="14" width="13.5703125" customWidth="1"/>
    <col min="15" max="16" width="13.140625" customWidth="1"/>
    <col min="17" max="17" width="13" customWidth="1"/>
    <col min="18" max="18" width="13.7109375" customWidth="1"/>
    <col min="19" max="19" width="13.42578125" customWidth="1"/>
    <col min="20" max="20" width="14.42578125" customWidth="1"/>
  </cols>
  <sheetData>
    <row r="1" spans="1:20" ht="15.75" customHeight="1">
      <c r="A1" s="43"/>
      <c r="B1" s="43"/>
      <c r="C1" s="43"/>
      <c r="D1" s="367" t="s">
        <v>11</v>
      </c>
      <c r="E1" s="368"/>
      <c r="F1" s="368"/>
      <c r="G1" s="368"/>
      <c r="H1" s="76"/>
      <c r="I1" s="82"/>
    </row>
    <row r="2" spans="1:20" ht="36.75" customHeight="1">
      <c r="A2" s="318" t="s">
        <v>41</v>
      </c>
      <c r="B2" s="369"/>
      <c r="C2" s="369"/>
      <c r="D2" s="369"/>
      <c r="E2" s="369"/>
      <c r="F2" s="369"/>
      <c r="G2" s="369"/>
      <c r="H2" s="81"/>
      <c r="I2" s="81"/>
    </row>
    <row r="3" spans="1:20" ht="95.25" customHeight="1">
      <c r="A3" s="42"/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>
        <v>42125</v>
      </c>
      <c r="H3" s="44">
        <v>42156</v>
      </c>
      <c r="I3" s="44">
        <v>42186</v>
      </c>
      <c r="J3" s="44" t="s">
        <v>28</v>
      </c>
      <c r="K3" s="44" t="s">
        <v>29</v>
      </c>
      <c r="L3" s="44" t="s">
        <v>30</v>
      </c>
      <c r="M3" s="44" t="s">
        <v>31</v>
      </c>
      <c r="N3" s="44" t="s">
        <v>35</v>
      </c>
      <c r="O3" s="44" t="s">
        <v>37</v>
      </c>
      <c r="P3" s="44" t="s">
        <v>38</v>
      </c>
      <c r="Q3" s="44" t="s">
        <v>39</v>
      </c>
      <c r="R3" s="44" t="s">
        <v>40</v>
      </c>
      <c r="S3" s="44" t="s">
        <v>43</v>
      </c>
      <c r="T3" s="44" t="s">
        <v>44</v>
      </c>
    </row>
    <row r="4" spans="1:20" ht="31.5">
      <c r="A4" s="31" t="s">
        <v>13</v>
      </c>
      <c r="B4" s="51" t="e">
        <f>#REF!</f>
        <v>#REF!</v>
      </c>
      <c r="C4" s="46" t="e">
        <f>#REF!</f>
        <v>#REF!</v>
      </c>
      <c r="D4" s="46" t="e">
        <f>#REF!</f>
        <v>#REF!</v>
      </c>
      <c r="E4" s="47" t="e">
        <f>#REF!</f>
        <v>#REF!</v>
      </c>
      <c r="F4" s="47" t="e">
        <f>#REF!</f>
        <v>#REF!</v>
      </c>
      <c r="G4" s="47" t="e">
        <f>#REF!</f>
        <v>#REF!</v>
      </c>
      <c r="H4" s="47" t="e">
        <f>#REF!</f>
        <v>#REF!</v>
      </c>
      <c r="I4" s="47"/>
      <c r="J4" s="47" t="e">
        <f>C4/B4*100</f>
        <v>#REF!</v>
      </c>
      <c r="K4" s="47" t="e">
        <f>D4/C4*100</f>
        <v>#REF!</v>
      </c>
      <c r="L4" s="47" t="e">
        <f>E4/D4*100</f>
        <v>#REF!</v>
      </c>
      <c r="M4" s="20" t="e">
        <f>F4/E4*100</f>
        <v>#REF!</v>
      </c>
      <c r="N4" s="47" t="e">
        <f t="shared" ref="N4:N9" si="0">F4/B4*100</f>
        <v>#REF!</v>
      </c>
      <c r="O4" s="20" t="e">
        <f t="shared" ref="O4:O9" si="1">G4/F4*100</f>
        <v>#REF!</v>
      </c>
      <c r="P4" s="47" t="e">
        <f t="shared" ref="P4:P9" si="2">G4/B4*100</f>
        <v>#REF!</v>
      </c>
      <c r="Q4" s="47" t="e">
        <f t="shared" ref="Q4:Q9" si="3">H4/G4*100</f>
        <v>#REF!</v>
      </c>
      <c r="R4" s="47" t="e">
        <f t="shared" ref="R4:R9" si="4">H4/B4*100</f>
        <v>#REF!</v>
      </c>
    </row>
    <row r="5" spans="1:20" ht="47.25">
      <c r="A5" s="32" t="s">
        <v>21</v>
      </c>
      <c r="B5" s="52" t="e">
        <f>#REF!</f>
        <v>#REF!</v>
      </c>
      <c r="C5" s="46" t="e">
        <f>#REF!</f>
        <v>#REF!</v>
      </c>
      <c r="D5" s="46" t="e">
        <f>#REF!</f>
        <v>#REF!</v>
      </c>
      <c r="E5" s="47" t="e">
        <f>#REF!</f>
        <v>#REF!</v>
      </c>
      <c r="F5" s="47" t="e">
        <f>#REF!</f>
        <v>#REF!</v>
      </c>
      <c r="G5" s="47" t="e">
        <f>#REF!</f>
        <v>#REF!</v>
      </c>
      <c r="H5" s="47" t="e">
        <f>#REF!</f>
        <v>#REF!</v>
      </c>
      <c r="I5" s="47"/>
      <c r="J5" s="47" t="e">
        <f t="shared" ref="J5:M9" si="5">C5/B5*100</f>
        <v>#REF!</v>
      </c>
      <c r="K5" s="47" t="e">
        <f t="shared" si="5"/>
        <v>#REF!</v>
      </c>
      <c r="L5" s="47" t="e">
        <f t="shared" si="5"/>
        <v>#REF!</v>
      </c>
      <c r="M5" s="47" t="e">
        <f t="shared" si="5"/>
        <v>#REF!</v>
      </c>
      <c r="N5" s="47" t="e">
        <f t="shared" si="0"/>
        <v>#REF!</v>
      </c>
      <c r="O5" s="20" t="e">
        <f t="shared" si="1"/>
        <v>#REF!</v>
      </c>
      <c r="P5" s="47" t="e">
        <f t="shared" si="2"/>
        <v>#REF!</v>
      </c>
      <c r="Q5" s="47" t="e">
        <f t="shared" si="3"/>
        <v>#REF!</v>
      </c>
      <c r="R5" s="47" t="e">
        <f t="shared" si="4"/>
        <v>#REF!</v>
      </c>
    </row>
    <row r="6" spans="1:20" ht="63">
      <c r="A6" s="31" t="s">
        <v>1</v>
      </c>
      <c r="B6" s="51" t="e">
        <f>#REF!</f>
        <v>#REF!</v>
      </c>
      <c r="C6" s="46" t="e">
        <f>#REF!</f>
        <v>#REF!</v>
      </c>
      <c r="D6" s="46" t="e">
        <f>#REF!</f>
        <v>#REF!</v>
      </c>
      <c r="E6" s="47" t="e">
        <f>#REF!</f>
        <v>#REF!</v>
      </c>
      <c r="F6" s="47" t="e">
        <f>#REF!</f>
        <v>#REF!</v>
      </c>
      <c r="G6" s="47" t="e">
        <f>#REF!</f>
        <v>#REF!</v>
      </c>
      <c r="H6" s="47" t="e">
        <f>#REF!</f>
        <v>#REF!</v>
      </c>
      <c r="I6" s="47"/>
      <c r="J6" s="47" t="e">
        <f t="shared" si="5"/>
        <v>#REF!</v>
      </c>
      <c r="K6" s="47" t="e">
        <f t="shared" si="5"/>
        <v>#REF!</v>
      </c>
      <c r="L6" s="47" t="e">
        <f t="shared" si="5"/>
        <v>#REF!</v>
      </c>
      <c r="M6" s="47" t="e">
        <f t="shared" si="5"/>
        <v>#REF!</v>
      </c>
      <c r="N6" s="47" t="e">
        <f t="shared" si="0"/>
        <v>#REF!</v>
      </c>
      <c r="O6" s="20" t="e">
        <f t="shared" si="1"/>
        <v>#REF!</v>
      </c>
      <c r="P6" s="47" t="e">
        <f t="shared" si="2"/>
        <v>#REF!</v>
      </c>
      <c r="Q6" s="47" t="e">
        <f t="shared" si="3"/>
        <v>#REF!</v>
      </c>
      <c r="R6" s="47" t="e">
        <f t="shared" si="4"/>
        <v>#REF!</v>
      </c>
    </row>
    <row r="7" spans="1:20" ht="31.5">
      <c r="A7" s="31" t="s">
        <v>2</v>
      </c>
      <c r="B7" s="69" t="e">
        <f>#REF!</f>
        <v>#REF!</v>
      </c>
      <c r="C7" s="46" t="e">
        <f>#REF!</f>
        <v>#REF!</v>
      </c>
      <c r="D7" s="46" t="e">
        <f>#REF!</f>
        <v>#REF!</v>
      </c>
      <c r="E7" s="46" t="e">
        <f>#REF!</f>
        <v>#REF!</v>
      </c>
      <c r="F7" s="21" t="e">
        <f>#REF!</f>
        <v>#REF!</v>
      </c>
      <c r="G7" s="47" t="e">
        <f>#REF!</f>
        <v>#REF!</v>
      </c>
      <c r="H7" s="47" t="e">
        <f>#REF!</f>
        <v>#REF!</v>
      </c>
      <c r="I7" s="47"/>
      <c r="J7" s="47" t="e">
        <f t="shared" si="5"/>
        <v>#REF!</v>
      </c>
      <c r="K7" s="47" t="e">
        <f t="shared" si="5"/>
        <v>#REF!</v>
      </c>
      <c r="L7" s="47" t="e">
        <f t="shared" si="5"/>
        <v>#REF!</v>
      </c>
      <c r="M7" s="47" t="e">
        <f t="shared" si="5"/>
        <v>#REF!</v>
      </c>
      <c r="N7" s="47" t="e">
        <f t="shared" si="0"/>
        <v>#REF!</v>
      </c>
      <c r="O7" s="20" t="e">
        <f t="shared" si="1"/>
        <v>#REF!</v>
      </c>
      <c r="P7" s="47" t="e">
        <f t="shared" si="2"/>
        <v>#REF!</v>
      </c>
      <c r="Q7" s="47" t="e">
        <f t="shared" si="3"/>
        <v>#REF!</v>
      </c>
      <c r="R7" s="47" t="e">
        <f t="shared" si="4"/>
        <v>#REF!</v>
      </c>
    </row>
    <row r="8" spans="1:20" ht="31.5">
      <c r="A8" s="33" t="s">
        <v>20</v>
      </c>
      <c r="B8" s="70" t="e">
        <f>#REF!</f>
        <v>#REF!</v>
      </c>
      <c r="C8" s="46" t="e">
        <f>#REF!</f>
        <v>#REF!</v>
      </c>
      <c r="D8" s="46" t="e">
        <f>#REF!</f>
        <v>#REF!</v>
      </c>
      <c r="E8" s="47" t="e">
        <f>#REF!</f>
        <v>#REF!</v>
      </c>
      <c r="F8" s="20" t="e">
        <f>#REF!</f>
        <v>#REF!</v>
      </c>
      <c r="G8" s="47" t="e">
        <f>#REF!</f>
        <v>#REF!</v>
      </c>
      <c r="H8" s="47" t="e">
        <f>#REF!</f>
        <v>#REF!</v>
      </c>
      <c r="I8" s="47"/>
      <c r="J8" s="47" t="e">
        <f t="shared" si="5"/>
        <v>#REF!</v>
      </c>
      <c r="K8" s="47" t="e">
        <f t="shared" si="5"/>
        <v>#REF!</v>
      </c>
      <c r="L8" s="47" t="e">
        <f t="shared" si="5"/>
        <v>#REF!</v>
      </c>
      <c r="M8" s="47" t="e">
        <f t="shared" si="5"/>
        <v>#REF!</v>
      </c>
      <c r="N8" s="47" t="e">
        <f t="shared" si="0"/>
        <v>#REF!</v>
      </c>
      <c r="O8" s="20" t="e">
        <f t="shared" si="1"/>
        <v>#REF!</v>
      </c>
      <c r="P8" s="20" t="e">
        <f t="shared" si="2"/>
        <v>#REF!</v>
      </c>
      <c r="Q8" s="47" t="e">
        <f t="shared" si="3"/>
        <v>#REF!</v>
      </c>
      <c r="R8" s="47" t="e">
        <f t="shared" si="4"/>
        <v>#REF!</v>
      </c>
    </row>
    <row r="9" spans="1:20" ht="18.75" customHeight="1">
      <c r="A9" s="18" t="s">
        <v>7</v>
      </c>
      <c r="B9" s="60" t="e">
        <f>B4+B5+B6+B7+B8</f>
        <v>#REF!</v>
      </c>
      <c r="C9" s="48" t="e">
        <f t="shared" ref="C9:H9" si="6">SUM(C4:C8)</f>
        <v>#REF!</v>
      </c>
      <c r="D9" s="48" t="e">
        <f t="shared" si="6"/>
        <v>#REF!</v>
      </c>
      <c r="E9" s="48" t="e">
        <f t="shared" si="6"/>
        <v>#REF!</v>
      </c>
      <c r="F9" s="48" t="e">
        <f t="shared" si="6"/>
        <v>#REF!</v>
      </c>
      <c r="G9" s="48" t="e">
        <f t="shared" si="6"/>
        <v>#REF!</v>
      </c>
      <c r="H9" s="48" t="e">
        <f t="shared" si="6"/>
        <v>#REF!</v>
      </c>
      <c r="I9" s="48"/>
      <c r="J9" s="47" t="e">
        <f t="shared" si="5"/>
        <v>#REF!</v>
      </c>
      <c r="K9" s="47" t="e">
        <f t="shared" si="5"/>
        <v>#REF!</v>
      </c>
      <c r="L9" s="47" t="e">
        <f t="shared" si="5"/>
        <v>#REF!</v>
      </c>
      <c r="M9" s="47" t="e">
        <f t="shared" si="5"/>
        <v>#REF!</v>
      </c>
      <c r="N9" s="47" t="e">
        <f t="shared" si="0"/>
        <v>#REF!</v>
      </c>
      <c r="O9" s="20" t="e">
        <f t="shared" si="1"/>
        <v>#REF!</v>
      </c>
      <c r="P9" s="47" t="e">
        <f t="shared" si="2"/>
        <v>#REF!</v>
      </c>
      <c r="Q9" s="47" t="e">
        <f t="shared" si="3"/>
        <v>#REF!</v>
      </c>
      <c r="R9" s="47" t="e">
        <f t="shared" si="4"/>
        <v>#REF!</v>
      </c>
    </row>
    <row r="10" spans="1:20" ht="24" customHeight="1"/>
    <row r="11" spans="1:20" ht="70.5" customHeight="1">
      <c r="A11" s="1" t="s">
        <v>14</v>
      </c>
      <c r="E11" s="370" t="s">
        <v>15</v>
      </c>
      <c r="F11" s="371"/>
      <c r="G11" s="371"/>
      <c r="H11" s="77"/>
      <c r="I11" s="83"/>
    </row>
    <row r="12" spans="1:20" ht="26.25" customHeight="1">
      <c r="D12" s="367" t="s">
        <v>11</v>
      </c>
      <c r="E12" s="367"/>
      <c r="F12" s="367"/>
      <c r="G12" s="74"/>
      <c r="H12" s="80"/>
      <c r="I12" s="84"/>
      <c r="P12" s="67"/>
    </row>
    <row r="13" spans="1:20">
      <c r="M13" s="67"/>
    </row>
  </sheetData>
  <mergeCells count="4">
    <mergeCell ref="D12:F12"/>
    <mergeCell ref="D1:G1"/>
    <mergeCell ref="A2:G2"/>
    <mergeCell ref="E11:G1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opLeftCell="B1" workbookViewId="0">
      <selection activeCell="B1" sqref="A1:XFD1048576"/>
    </sheetView>
  </sheetViews>
  <sheetFormatPr defaultRowHeight="15"/>
  <cols>
    <col min="1" max="1" width="43.140625" customWidth="1"/>
    <col min="2" max="2" width="16" customWidth="1"/>
    <col min="3" max="3" width="19.85546875" customWidth="1"/>
    <col min="4" max="9" width="14.7109375" customWidth="1"/>
    <col min="10" max="10" width="17.7109375" customWidth="1"/>
    <col min="11" max="11" width="17.85546875" customWidth="1"/>
    <col min="12" max="12" width="14.7109375" customWidth="1"/>
    <col min="13" max="13" width="14.5703125" customWidth="1"/>
    <col min="14" max="14" width="13.5703125" customWidth="1"/>
    <col min="15" max="16" width="13.140625" customWidth="1"/>
    <col min="17" max="17" width="13" customWidth="1"/>
    <col min="18" max="18" width="13.7109375" customWidth="1"/>
    <col min="19" max="19" width="13.42578125" customWidth="1"/>
    <col min="20" max="20" width="14.42578125" customWidth="1"/>
  </cols>
  <sheetData>
    <row r="1" spans="1:20" ht="15.75" customHeight="1">
      <c r="A1" s="43"/>
      <c r="B1" s="43"/>
      <c r="C1" s="43"/>
      <c r="F1" s="88"/>
      <c r="G1" s="87"/>
      <c r="H1" s="372" t="s">
        <v>11</v>
      </c>
      <c r="I1" s="372"/>
    </row>
    <row r="2" spans="1:20" ht="36.75" customHeight="1">
      <c r="A2" s="318" t="s">
        <v>41</v>
      </c>
      <c r="B2" s="369"/>
      <c r="C2" s="369"/>
      <c r="D2" s="369"/>
      <c r="E2" s="369"/>
      <c r="F2" s="369"/>
      <c r="G2" s="369"/>
      <c r="H2" s="81"/>
      <c r="I2" s="81"/>
    </row>
    <row r="3" spans="1:20" ht="95.25" customHeight="1">
      <c r="A3" s="42"/>
      <c r="B3" s="45">
        <v>41974</v>
      </c>
      <c r="C3" s="44">
        <v>42005</v>
      </c>
      <c r="D3" s="44">
        <v>42036</v>
      </c>
      <c r="E3" s="44">
        <v>42064</v>
      </c>
      <c r="F3" s="44">
        <v>42095</v>
      </c>
      <c r="G3" s="44">
        <v>42125</v>
      </c>
      <c r="H3" s="44">
        <v>42156</v>
      </c>
      <c r="I3" s="44">
        <v>42186</v>
      </c>
      <c r="J3" s="44" t="s">
        <v>28</v>
      </c>
      <c r="K3" s="44" t="s">
        <v>29</v>
      </c>
      <c r="L3" s="44" t="s">
        <v>30</v>
      </c>
      <c r="M3" s="44" t="s">
        <v>31</v>
      </c>
      <c r="N3" s="44" t="s">
        <v>35</v>
      </c>
      <c r="O3" s="44" t="s">
        <v>37</v>
      </c>
      <c r="P3" s="44" t="s">
        <v>38</v>
      </c>
      <c r="Q3" s="44" t="s">
        <v>39</v>
      </c>
      <c r="R3" s="44" t="s">
        <v>40</v>
      </c>
      <c r="S3" s="44" t="s">
        <v>43</v>
      </c>
      <c r="T3" s="44" t="s">
        <v>44</v>
      </c>
    </row>
    <row r="4" spans="1:20" ht="31.5">
      <c r="A4" s="31" t="s">
        <v>13</v>
      </c>
      <c r="B4" s="51" t="e">
        <f>#REF!</f>
        <v>#REF!</v>
      </c>
      <c r="C4" s="46" t="e">
        <f>#REF!</f>
        <v>#REF!</v>
      </c>
      <c r="D4" s="46" t="e">
        <f>#REF!</f>
        <v>#REF!</v>
      </c>
      <c r="E4" s="47" t="e">
        <f>#REF!</f>
        <v>#REF!</v>
      </c>
      <c r="F4" s="47" t="e">
        <f>#REF!</f>
        <v>#REF!</v>
      </c>
      <c r="G4" s="47" t="e">
        <f>#REF!</f>
        <v>#REF!</v>
      </c>
      <c r="H4" s="47" t="e">
        <f>#REF!</f>
        <v>#REF!</v>
      </c>
      <c r="I4" s="47" t="e">
        <f>#REF!</f>
        <v>#REF!</v>
      </c>
      <c r="J4" s="47" t="e">
        <f>C4/B4*100</f>
        <v>#REF!</v>
      </c>
      <c r="K4" s="47" t="e">
        <f>D4/C4*100</f>
        <v>#REF!</v>
      </c>
      <c r="L4" s="47" t="e">
        <f>E4/D4*100</f>
        <v>#REF!</v>
      </c>
      <c r="M4" s="20" t="e">
        <f>F4/E4*100</f>
        <v>#REF!</v>
      </c>
      <c r="N4" s="47" t="e">
        <f t="shared" ref="N4:N9" si="0">F4/B4*100</f>
        <v>#REF!</v>
      </c>
      <c r="O4" s="20" t="e">
        <f t="shared" ref="O4:O9" si="1">G4/F4*100</f>
        <v>#REF!</v>
      </c>
      <c r="P4" s="47" t="e">
        <f t="shared" ref="P4:P9" si="2">G4/B4*100</f>
        <v>#REF!</v>
      </c>
      <c r="Q4" s="47" t="e">
        <f t="shared" ref="Q4:Q9" si="3">H4/G4*100</f>
        <v>#REF!</v>
      </c>
      <c r="R4" s="47" t="e">
        <f t="shared" ref="R4:R9" si="4">H4/B4*100</f>
        <v>#REF!</v>
      </c>
      <c r="S4" s="47" t="e">
        <f t="shared" ref="S4:S9" si="5">I4/H4*100</f>
        <v>#REF!</v>
      </c>
      <c r="T4" s="47" t="e">
        <f t="shared" ref="T4:T9" si="6">I4/B4*100</f>
        <v>#REF!</v>
      </c>
    </row>
    <row r="5" spans="1:20" ht="47.25">
      <c r="A5" s="32" t="s">
        <v>21</v>
      </c>
      <c r="B5" s="52" t="e">
        <f>#REF!</f>
        <v>#REF!</v>
      </c>
      <c r="C5" s="46" t="e">
        <f>#REF!</f>
        <v>#REF!</v>
      </c>
      <c r="D5" s="46" t="e">
        <f>#REF!</f>
        <v>#REF!</v>
      </c>
      <c r="E5" s="47" t="e">
        <f>#REF!</f>
        <v>#REF!</v>
      </c>
      <c r="F5" s="47" t="e">
        <f>#REF!</f>
        <v>#REF!</v>
      </c>
      <c r="G5" s="47" t="e">
        <f>#REF!</f>
        <v>#REF!</v>
      </c>
      <c r="H5" s="47" t="e">
        <f>#REF!</f>
        <v>#REF!</v>
      </c>
      <c r="I5" s="47" t="e">
        <f>#REF!</f>
        <v>#REF!</v>
      </c>
      <c r="J5" s="47" t="e">
        <f t="shared" ref="J5:M9" si="7">C5/B5*100</f>
        <v>#REF!</v>
      </c>
      <c r="K5" s="47" t="e">
        <f t="shared" si="7"/>
        <v>#REF!</v>
      </c>
      <c r="L5" s="47" t="e">
        <f t="shared" si="7"/>
        <v>#REF!</v>
      </c>
      <c r="M5" s="47" t="e">
        <f t="shared" si="7"/>
        <v>#REF!</v>
      </c>
      <c r="N5" s="47" t="e">
        <f t="shared" si="0"/>
        <v>#REF!</v>
      </c>
      <c r="O5" s="20" t="e">
        <f t="shared" si="1"/>
        <v>#REF!</v>
      </c>
      <c r="P5" s="47" t="e">
        <f t="shared" si="2"/>
        <v>#REF!</v>
      </c>
      <c r="Q5" s="47" t="e">
        <f t="shared" si="3"/>
        <v>#REF!</v>
      </c>
      <c r="R5" s="47" t="e">
        <f t="shared" si="4"/>
        <v>#REF!</v>
      </c>
      <c r="S5" s="47" t="e">
        <f t="shared" si="5"/>
        <v>#REF!</v>
      </c>
      <c r="T5" s="47" t="e">
        <f t="shared" si="6"/>
        <v>#REF!</v>
      </c>
    </row>
    <row r="6" spans="1:20" ht="63">
      <c r="A6" s="31" t="s">
        <v>1</v>
      </c>
      <c r="B6" s="51" t="e">
        <f>#REF!</f>
        <v>#REF!</v>
      </c>
      <c r="C6" s="46" t="e">
        <f>#REF!</f>
        <v>#REF!</v>
      </c>
      <c r="D6" s="46" t="e">
        <f>#REF!</f>
        <v>#REF!</v>
      </c>
      <c r="E6" s="47" t="e">
        <f>#REF!</f>
        <v>#REF!</v>
      </c>
      <c r="F6" s="47" t="e">
        <f>#REF!</f>
        <v>#REF!</v>
      </c>
      <c r="G6" s="47" t="e">
        <f>#REF!</f>
        <v>#REF!</v>
      </c>
      <c r="H6" s="47" t="e">
        <f>#REF!</f>
        <v>#REF!</v>
      </c>
      <c r="I6" s="47" t="e">
        <f>#REF!</f>
        <v>#REF!</v>
      </c>
      <c r="J6" s="47" t="e">
        <f t="shared" si="7"/>
        <v>#REF!</v>
      </c>
      <c r="K6" s="47" t="e">
        <f t="shared" si="7"/>
        <v>#REF!</v>
      </c>
      <c r="L6" s="47" t="e">
        <f t="shared" si="7"/>
        <v>#REF!</v>
      </c>
      <c r="M6" s="47" t="e">
        <f t="shared" si="7"/>
        <v>#REF!</v>
      </c>
      <c r="N6" s="47" t="e">
        <f t="shared" si="0"/>
        <v>#REF!</v>
      </c>
      <c r="O6" s="20" t="e">
        <f t="shared" si="1"/>
        <v>#REF!</v>
      </c>
      <c r="P6" s="47" t="e">
        <f t="shared" si="2"/>
        <v>#REF!</v>
      </c>
      <c r="Q6" s="47" t="e">
        <f t="shared" si="3"/>
        <v>#REF!</v>
      </c>
      <c r="R6" s="47" t="e">
        <f t="shared" si="4"/>
        <v>#REF!</v>
      </c>
      <c r="S6" s="47" t="e">
        <f t="shared" si="5"/>
        <v>#REF!</v>
      </c>
      <c r="T6" s="47" t="e">
        <f t="shared" si="6"/>
        <v>#REF!</v>
      </c>
    </row>
    <row r="7" spans="1:20" ht="31.5">
      <c r="A7" s="31" t="s">
        <v>2</v>
      </c>
      <c r="B7" s="69" t="e">
        <f>#REF!</f>
        <v>#REF!</v>
      </c>
      <c r="C7" s="46" t="e">
        <f>#REF!</f>
        <v>#REF!</v>
      </c>
      <c r="D7" s="46" t="e">
        <f>#REF!</f>
        <v>#REF!</v>
      </c>
      <c r="E7" s="46" t="e">
        <f>#REF!</f>
        <v>#REF!</v>
      </c>
      <c r="F7" s="21" t="e">
        <f>#REF!</f>
        <v>#REF!</v>
      </c>
      <c r="G7" s="47" t="e">
        <f>#REF!</f>
        <v>#REF!</v>
      </c>
      <c r="H7" s="47" t="e">
        <f>#REF!</f>
        <v>#REF!</v>
      </c>
      <c r="I7" s="47" t="e">
        <f>#REF!</f>
        <v>#REF!</v>
      </c>
      <c r="J7" s="47" t="e">
        <f t="shared" si="7"/>
        <v>#REF!</v>
      </c>
      <c r="K7" s="47" t="e">
        <f t="shared" si="7"/>
        <v>#REF!</v>
      </c>
      <c r="L7" s="47" t="e">
        <f t="shared" si="7"/>
        <v>#REF!</v>
      </c>
      <c r="M7" s="47" t="e">
        <f t="shared" si="7"/>
        <v>#REF!</v>
      </c>
      <c r="N7" s="47" t="e">
        <f t="shared" si="0"/>
        <v>#REF!</v>
      </c>
      <c r="O7" s="20" t="e">
        <f t="shared" si="1"/>
        <v>#REF!</v>
      </c>
      <c r="P7" s="47" t="e">
        <f t="shared" si="2"/>
        <v>#REF!</v>
      </c>
      <c r="Q7" s="47" t="e">
        <f t="shared" si="3"/>
        <v>#REF!</v>
      </c>
      <c r="R7" s="47" t="e">
        <f t="shared" si="4"/>
        <v>#REF!</v>
      </c>
      <c r="S7" s="47" t="e">
        <f t="shared" si="5"/>
        <v>#REF!</v>
      </c>
      <c r="T7" s="47" t="e">
        <f t="shared" si="6"/>
        <v>#REF!</v>
      </c>
    </row>
    <row r="8" spans="1:20" ht="31.5">
      <c r="A8" s="33" t="s">
        <v>20</v>
      </c>
      <c r="B8" s="70" t="e">
        <f>#REF!</f>
        <v>#REF!</v>
      </c>
      <c r="C8" s="46" t="e">
        <f>#REF!</f>
        <v>#REF!</v>
      </c>
      <c r="D8" s="46" t="e">
        <f>#REF!</f>
        <v>#REF!</v>
      </c>
      <c r="E8" s="47" t="e">
        <f>#REF!</f>
        <v>#REF!</v>
      </c>
      <c r="F8" s="20" t="e">
        <f>#REF!</f>
        <v>#REF!</v>
      </c>
      <c r="G8" s="47" t="e">
        <f>#REF!</f>
        <v>#REF!</v>
      </c>
      <c r="H8" s="47" t="e">
        <f>#REF!</f>
        <v>#REF!</v>
      </c>
      <c r="I8" s="47" t="e">
        <f>#REF!</f>
        <v>#REF!</v>
      </c>
      <c r="J8" s="47" t="e">
        <f t="shared" si="7"/>
        <v>#REF!</v>
      </c>
      <c r="K8" s="47" t="e">
        <f t="shared" si="7"/>
        <v>#REF!</v>
      </c>
      <c r="L8" s="47" t="e">
        <f t="shared" si="7"/>
        <v>#REF!</v>
      </c>
      <c r="M8" s="47" t="e">
        <f t="shared" si="7"/>
        <v>#REF!</v>
      </c>
      <c r="N8" s="47" t="e">
        <f t="shared" si="0"/>
        <v>#REF!</v>
      </c>
      <c r="O8" s="20" t="e">
        <f t="shared" si="1"/>
        <v>#REF!</v>
      </c>
      <c r="P8" s="20" t="e">
        <f t="shared" si="2"/>
        <v>#REF!</v>
      </c>
      <c r="Q8" s="47" t="e">
        <f t="shared" si="3"/>
        <v>#REF!</v>
      </c>
      <c r="R8" s="47" t="e">
        <f t="shared" si="4"/>
        <v>#REF!</v>
      </c>
      <c r="S8" s="47" t="e">
        <f t="shared" si="5"/>
        <v>#REF!</v>
      </c>
      <c r="T8" s="47" t="e">
        <f t="shared" si="6"/>
        <v>#REF!</v>
      </c>
    </row>
    <row r="9" spans="1:20" ht="18.75" customHeight="1">
      <c r="A9" s="18" t="s">
        <v>7</v>
      </c>
      <c r="B9" s="60" t="e">
        <f>B4+B5+B6+B7+B8</f>
        <v>#REF!</v>
      </c>
      <c r="C9" s="48" t="e">
        <f>SUM(C4:C8)</f>
        <v>#REF!</v>
      </c>
      <c r="D9" s="48" t="e">
        <f t="shared" ref="D9:I9" si="8">SUM(D4:D8)</f>
        <v>#REF!</v>
      </c>
      <c r="E9" s="48" t="e">
        <f t="shared" si="8"/>
        <v>#REF!</v>
      </c>
      <c r="F9" s="48" t="e">
        <f t="shared" si="8"/>
        <v>#REF!</v>
      </c>
      <c r="G9" s="48" t="e">
        <f t="shared" si="8"/>
        <v>#REF!</v>
      </c>
      <c r="H9" s="48" t="e">
        <f t="shared" si="8"/>
        <v>#REF!</v>
      </c>
      <c r="I9" s="48" t="e">
        <f t="shared" si="8"/>
        <v>#REF!</v>
      </c>
      <c r="J9" s="47" t="e">
        <f t="shared" si="7"/>
        <v>#REF!</v>
      </c>
      <c r="K9" s="47" t="e">
        <f t="shared" si="7"/>
        <v>#REF!</v>
      </c>
      <c r="L9" s="47" t="e">
        <f t="shared" si="7"/>
        <v>#REF!</v>
      </c>
      <c r="M9" s="47" t="e">
        <f t="shared" si="7"/>
        <v>#REF!</v>
      </c>
      <c r="N9" s="47" t="e">
        <f t="shared" si="0"/>
        <v>#REF!</v>
      </c>
      <c r="O9" s="20" t="e">
        <f t="shared" si="1"/>
        <v>#REF!</v>
      </c>
      <c r="P9" s="47" t="e">
        <f t="shared" si="2"/>
        <v>#REF!</v>
      </c>
      <c r="Q9" s="47" t="e">
        <f t="shared" si="3"/>
        <v>#REF!</v>
      </c>
      <c r="R9" s="47" t="e">
        <f t="shared" si="4"/>
        <v>#REF!</v>
      </c>
      <c r="S9" s="47" t="e">
        <f t="shared" si="5"/>
        <v>#REF!</v>
      </c>
      <c r="T9" s="47" t="e">
        <f t="shared" si="6"/>
        <v>#REF!</v>
      </c>
    </row>
    <row r="10" spans="1:20" ht="24" customHeight="1"/>
    <row r="11" spans="1:20" ht="70.5" customHeight="1">
      <c r="A11" s="1" t="s">
        <v>14</v>
      </c>
      <c r="E11" s="370" t="s">
        <v>15</v>
      </c>
      <c r="F11" s="371"/>
      <c r="G11" s="371"/>
      <c r="H11" s="85"/>
      <c r="I11" s="85"/>
    </row>
    <row r="12" spans="1:20" ht="26.25" customHeight="1">
      <c r="D12" s="367" t="s">
        <v>11</v>
      </c>
      <c r="E12" s="367"/>
      <c r="F12" s="367"/>
      <c r="G12" s="86"/>
      <c r="H12" s="86"/>
      <c r="I12" s="86"/>
      <c r="P12" s="67"/>
    </row>
    <row r="13" spans="1:20">
      <c r="M13" s="67"/>
    </row>
  </sheetData>
  <mergeCells count="4">
    <mergeCell ref="A2:G2"/>
    <mergeCell ref="E11:G11"/>
    <mergeCell ref="D12:F12"/>
    <mergeCell ref="H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10</vt:i4>
      </vt:variant>
    </vt:vector>
  </HeadingPairs>
  <TitlesOfParts>
    <vt:vector size="33" baseType="lpstr">
      <vt:lpstr>Прил№3 июль</vt:lpstr>
      <vt:lpstr>По месяцам2016</vt:lpstr>
      <vt:lpstr>Приложение №1</vt:lpstr>
      <vt:lpstr>Приложение № 2</vt:lpstr>
      <vt:lpstr>Приложение № 3</vt:lpstr>
      <vt:lpstr>Приложение № 4</vt:lpstr>
      <vt:lpstr>Приложение №3</vt:lpstr>
      <vt:lpstr>Прил№4июнь</vt:lpstr>
      <vt:lpstr>Прил№4июль</vt:lpstr>
      <vt:lpstr>Приложение №4</vt:lpstr>
      <vt:lpstr>4мес.2015</vt:lpstr>
      <vt:lpstr>Приложение №5</vt:lpstr>
      <vt:lpstr>Приложение №6</vt:lpstr>
      <vt:lpstr>Приложение № 7</vt:lpstr>
      <vt:lpstr>Лист1</vt:lpstr>
      <vt:lpstr>Лист3</vt:lpstr>
      <vt:lpstr>Лист4</vt:lpstr>
      <vt:lpstr>Лист5</vt:lpstr>
      <vt:lpstr>5.1</vt:lpstr>
      <vt:lpstr>Лист6</vt:lpstr>
      <vt:lpstr>6.1</vt:lpstr>
      <vt:lpstr>7</vt:lpstr>
      <vt:lpstr>7.1</vt:lpstr>
      <vt:lpstr>'По месяцам2016'!Область_печати</vt:lpstr>
      <vt:lpstr>'Прил№3 июль'!Область_печати</vt:lpstr>
      <vt:lpstr>Прил№4июнь!Область_печати</vt:lpstr>
      <vt:lpstr>'Приложение № 2'!Область_печати</vt:lpstr>
      <vt:lpstr>'Приложение № 3'!Область_печати</vt:lpstr>
      <vt:lpstr>'Приложение № 4'!Область_печати</vt:lpstr>
      <vt:lpstr>'Приложение №1'!Область_печати</vt:lpstr>
      <vt:lpstr>'Приложение №3'!Область_печати</vt:lpstr>
      <vt:lpstr>'Приложение №4'!Область_печати</vt:lpstr>
      <vt:lpstr>'Приложение №5'!Область_печати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TUkhanova</dc:creator>
  <cp:lastModifiedBy>Турасова Людмила Александровна</cp:lastModifiedBy>
  <cp:lastPrinted>2020-02-10T12:01:51Z</cp:lastPrinted>
  <dcterms:created xsi:type="dcterms:W3CDTF">2014-02-11T06:34:28Z</dcterms:created>
  <dcterms:modified xsi:type="dcterms:W3CDTF">2020-10-02T14:17:45Z</dcterms:modified>
</cp:coreProperties>
</file>